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2_DCE 2\0_DCE LEWF\DOCUMENTS ECRITS\DCE_PIECE 04_DPGF\"/>
    </mc:Choice>
  </mc:AlternateContent>
  <xr:revisionPtr revIDLastSave="0" documentId="13_ncr:1_{A57F9F7F-487E-4E47-B199-35512C3E612D}" xr6:coauthVersionLast="47" xr6:coauthVersionMax="47" xr10:uidLastSave="{00000000-0000-0000-0000-000000000000}"/>
  <bookViews>
    <workbookView xWindow="-120" yWindow="-120" windowWidth="29040" windowHeight="15840" firstSheet="18" activeTab="22" xr2:uid="{9F7A8560-515C-42AC-AE6F-754401F8C26B}"/>
  </bookViews>
  <sheets>
    <sheet name="LOT 10 FX PLAF BAT D TF" sheetId="1" r:id="rId1"/>
    <sheet name="LOT 10 FX PLAF BAT G TF" sheetId="2" r:id="rId2"/>
    <sheet name="LOT 10 FX PLAF BAT H TF" sheetId="3" r:id="rId3"/>
    <sheet name="LOT 10 FX PLAF BAT I TF" sheetId="4" r:id="rId4"/>
    <sheet name="LOT 10 FX PLAF BAT K TF" sheetId="5" r:id="rId5"/>
    <sheet name="LOT 10 FX PLAF BAT N TF" sheetId="6" r:id="rId6"/>
    <sheet name="LOT 10 FX PLAF BAT U TF" sheetId="7" r:id="rId7"/>
    <sheet name="LOT 10 FX PLAF BAT K TO1" sheetId="8" r:id="rId8"/>
    <sheet name="LOT 10 FX PLAF BAT G TO2" sheetId="9" r:id="rId9"/>
    <sheet name="LOT 10 FX PLAF BAT U T03" sheetId="10" r:id="rId10"/>
    <sheet name="LOT 10 FX PLAF BAT J T04" sheetId="11" r:id="rId11"/>
    <sheet name="LOT 10 FX PLAF BAT H T05" sheetId="12" r:id="rId12"/>
    <sheet name="LOT 10 FX PLAF BAT A T06" sheetId="13" r:id="rId13"/>
    <sheet name="LOT 10 FX PLAF BAT B T06" sheetId="14" r:id="rId14"/>
    <sheet name="LOT 10 FX PLAF BAT C T06" sheetId="15" r:id="rId15"/>
    <sheet name="LOT 10 FX PLAF BAT E T06" sheetId="16" r:id="rId16"/>
    <sheet name="LOT 10 FX PLAF BAT F T06" sheetId="17" r:id="rId17"/>
    <sheet name="LOT 10 FX PLAF BAT L T06" sheetId="18" r:id="rId18"/>
    <sheet name="LOT 10 FX PLAF BAT M T06" sheetId="19" r:id="rId19"/>
    <sheet name="LOT 10 FX PLAF BAT O T06" sheetId="20" r:id="rId20"/>
    <sheet name="LOT 10 FX PLAF BAT P T06" sheetId="21" r:id="rId21"/>
    <sheet name="LOT 10 FX PLAF BAT T T06" sheetId="22" r:id="rId22"/>
    <sheet name="LOT 10 FX PLAF BAT V T06" sheetId="23" r:id="rId23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_xlnm._FilterDatabase" localSheetId="0" hidden="1">'LOT 10 FX PLAF BAT D TF'!$D$70:$D$72</definedName>
    <definedName name="_xlnm._FilterDatabase" localSheetId="11" hidden="1">'LOT 10 FX PLAF BAT H T05'!#REF!</definedName>
    <definedName name="_xlnm._FilterDatabase" localSheetId="2" hidden="1">'LOT 10 FX PLAF BAT H TF'!#REF!</definedName>
    <definedName name="_xlnm._FilterDatabase" localSheetId="4" hidden="1">'LOT 10 FX PLAF BAT K TF'!$D$284:$D$284</definedName>
    <definedName name="_xlnm._FilterDatabase" localSheetId="7" hidden="1">'LOT 10 FX PLAF BAT K TO1'!#REF!</definedName>
    <definedName name="a">#N/A</definedName>
    <definedName name="a2222222" localSheetId="12">#REF!</definedName>
    <definedName name="a2222222" localSheetId="13">#REF!</definedName>
    <definedName name="a2222222" localSheetId="14">#REF!</definedName>
    <definedName name="a2222222" localSheetId="0">#REF!</definedName>
    <definedName name="a2222222" localSheetId="15">#REF!</definedName>
    <definedName name="a2222222" localSheetId="16">#REF!</definedName>
    <definedName name="a2222222" localSheetId="1">#REF!</definedName>
    <definedName name="a2222222" localSheetId="8">#REF!</definedName>
    <definedName name="a2222222" localSheetId="11">#REF!</definedName>
    <definedName name="a2222222" localSheetId="2">#REF!</definedName>
    <definedName name="a2222222" localSheetId="3">#REF!</definedName>
    <definedName name="a2222222" localSheetId="10">#REF!</definedName>
    <definedName name="a2222222" localSheetId="4">#REF!</definedName>
    <definedName name="a2222222" localSheetId="7">#REF!</definedName>
    <definedName name="a2222222" localSheetId="17">#REF!</definedName>
    <definedName name="a2222222" localSheetId="18">#REF!</definedName>
    <definedName name="a2222222" localSheetId="5">#REF!</definedName>
    <definedName name="a2222222" localSheetId="19">#REF!</definedName>
    <definedName name="a2222222" localSheetId="20">#REF!</definedName>
    <definedName name="a2222222" localSheetId="21">#REF!</definedName>
    <definedName name="a2222222" localSheetId="9">#REF!</definedName>
    <definedName name="a2222222" localSheetId="6">#REF!</definedName>
    <definedName name="a2222222" localSheetId="22">#REF!</definedName>
    <definedName name="a2222222">#REF!</definedName>
    <definedName name="AAAAAAAAAAAAAAAAAAAAAAAAAAAAAAAA" localSheetId="1">#REF!</definedName>
    <definedName name="AAAAAAAAAAAAAAAAAAAAAAAAAAAAAAAA" localSheetId="8">#REF!</definedName>
    <definedName name="AAAAAAAAAAAAAAAAAAAAAAAAAAAAAAAA" localSheetId="11">#REF!</definedName>
    <definedName name="AAAAAAAAAAAAAAAAAAAAAAAAAAAAAAAA" localSheetId="2">#REF!</definedName>
    <definedName name="AAAAAAAAAAAAAAAAAAAAAAAAAAAAAAAA" localSheetId="3">#REF!</definedName>
    <definedName name="AAAAAAAAAAAAAAAAAAAAAAAAAAAAAAAA" localSheetId="10">#REF!</definedName>
    <definedName name="AAAAAAAAAAAAAAAAAAAAAAAAAAAAAAAA">#REF!</definedName>
    <definedName name="affaire">#N/A</definedName>
    <definedName name="b">#N/A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0">#REF!</definedName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8">#REF!</definedName>
    <definedName name="_xlnm.Database" localSheetId="11">#REF!</definedName>
    <definedName name="_xlnm.Database" localSheetId="2">#REF!</definedName>
    <definedName name="_xlnm.Database" localSheetId="3">#REF!</definedName>
    <definedName name="_xlnm.Database" localSheetId="10">#REF!</definedName>
    <definedName name="_xlnm.Database" localSheetId="4">#REF!</definedName>
    <definedName name="_xlnm.Database" localSheetId="7">#REF!</definedName>
    <definedName name="_xlnm.Database" localSheetId="17">#REF!</definedName>
    <definedName name="_xlnm.Database" localSheetId="18">#REF!</definedName>
    <definedName name="_xlnm.Database" localSheetId="5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9">#REF!</definedName>
    <definedName name="_xlnm.Database" localSheetId="6">#REF!</definedName>
    <definedName name="_xlnm.Database" localSheetId="22">#REF!</definedName>
    <definedName name="_xlnm.Database">#REF!</definedName>
    <definedName name="BVVB" localSheetId="12">#REF!</definedName>
    <definedName name="BVVB" localSheetId="13">#REF!</definedName>
    <definedName name="BVVB" localSheetId="14">#REF!</definedName>
    <definedName name="BVVB" localSheetId="0">#REF!</definedName>
    <definedName name="BVVB" localSheetId="15">#REF!</definedName>
    <definedName name="BVVB" localSheetId="16">#REF!</definedName>
    <definedName name="BVVB" localSheetId="1">#REF!</definedName>
    <definedName name="BVVB" localSheetId="8">#REF!</definedName>
    <definedName name="BVVB" localSheetId="11">#REF!</definedName>
    <definedName name="BVVB" localSheetId="2">#REF!</definedName>
    <definedName name="BVVB" localSheetId="3">#REF!</definedName>
    <definedName name="BVVB" localSheetId="10">#REF!</definedName>
    <definedName name="BVVB" localSheetId="4">#REF!</definedName>
    <definedName name="BVVB" localSheetId="7">#REF!</definedName>
    <definedName name="BVVB" localSheetId="17">#REF!</definedName>
    <definedName name="BVVB" localSheetId="18">#REF!</definedName>
    <definedName name="BVVB" localSheetId="5">#REF!</definedName>
    <definedName name="BVVB" localSheetId="19">#REF!</definedName>
    <definedName name="BVVB" localSheetId="20">#REF!</definedName>
    <definedName name="BVVB" localSheetId="21">#REF!</definedName>
    <definedName name="BVVB" localSheetId="9">#REF!</definedName>
    <definedName name="BVVB" localSheetId="6">#REF!</definedName>
    <definedName name="BVVB" localSheetId="22">#REF!</definedName>
    <definedName name="BVVB">#REF!</definedName>
    <definedName name="Catégories">#REF!</definedName>
    <definedName name="coef">#N/A</definedName>
    <definedName name="_xlnm.Criteria" localSheetId="12">#REF!</definedName>
    <definedName name="_xlnm.Criteria" localSheetId="13">#REF!</definedName>
    <definedName name="_xlnm.Criteria" localSheetId="14">#REF!</definedName>
    <definedName name="_xlnm.Criteria" localSheetId="0">#REF!</definedName>
    <definedName name="_xlnm.Criteria" localSheetId="15">#REF!</definedName>
    <definedName name="_xlnm.Criteria" localSheetId="16">#REF!</definedName>
    <definedName name="_xlnm.Criteria" localSheetId="1">#REF!</definedName>
    <definedName name="_xlnm.Criteria" localSheetId="8">#REF!</definedName>
    <definedName name="_xlnm.Criteria" localSheetId="11">#REF!</definedName>
    <definedName name="_xlnm.Criteria" localSheetId="2">#REF!</definedName>
    <definedName name="_xlnm.Criteria" localSheetId="3">#REF!</definedName>
    <definedName name="_xlnm.Criteria" localSheetId="10">#REF!</definedName>
    <definedName name="_xlnm.Criteria" localSheetId="4">#REF!</definedName>
    <definedName name="_xlnm.Criteria" localSheetId="7">#REF!</definedName>
    <definedName name="_xlnm.Criteria" localSheetId="17">#REF!</definedName>
    <definedName name="_xlnm.Criteria" localSheetId="18">#REF!</definedName>
    <definedName name="_xlnm.Criteria" localSheetId="5">#REF!</definedName>
    <definedName name="_xlnm.Criteria" localSheetId="19">#REF!</definedName>
    <definedName name="_xlnm.Criteria" localSheetId="20">#REF!</definedName>
    <definedName name="_xlnm.Criteria" localSheetId="21">#REF!</definedName>
    <definedName name="_xlnm.Criteria" localSheetId="9">#REF!</definedName>
    <definedName name="_xlnm.Criteria" localSheetId="6">#REF!</definedName>
    <definedName name="_xlnm.Criteria" localSheetId="22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12">#REF!</definedName>
    <definedName name="cvf" localSheetId="13">#REF!</definedName>
    <definedName name="cvf" localSheetId="14">#REF!</definedName>
    <definedName name="cvf" localSheetId="0">#REF!</definedName>
    <definedName name="cvf" localSheetId="15">#REF!</definedName>
    <definedName name="cvf" localSheetId="16">#REF!</definedName>
    <definedName name="cvf" localSheetId="1">#REF!</definedName>
    <definedName name="cvf" localSheetId="8">#REF!</definedName>
    <definedName name="cvf" localSheetId="11">#REF!</definedName>
    <definedName name="cvf" localSheetId="2">#REF!</definedName>
    <definedName name="cvf" localSheetId="3">#REF!</definedName>
    <definedName name="cvf" localSheetId="10">#REF!</definedName>
    <definedName name="cvf" localSheetId="4">#REF!</definedName>
    <definedName name="cvf" localSheetId="7">#REF!</definedName>
    <definedName name="cvf" localSheetId="17">#REF!</definedName>
    <definedName name="cvf" localSheetId="18">#REF!</definedName>
    <definedName name="cvf" localSheetId="5">#REF!</definedName>
    <definedName name="cvf" localSheetId="19">#REF!</definedName>
    <definedName name="cvf" localSheetId="20">#REF!</definedName>
    <definedName name="cvf" localSheetId="21">#REF!</definedName>
    <definedName name="cvf" localSheetId="9">#REF!</definedName>
    <definedName name="cvf" localSheetId="6">#REF!</definedName>
    <definedName name="cvf" localSheetId="22">#REF!</definedName>
    <definedName name="cvf">#REF!</definedName>
    <definedName name="D">#N/A</definedName>
    <definedName name="ee">#N/A</definedName>
    <definedName name="EER" localSheetId="12">#REF!</definedName>
    <definedName name="EER" localSheetId="13">#REF!</definedName>
    <definedName name="EER" localSheetId="14">#REF!</definedName>
    <definedName name="EER" localSheetId="0">#REF!</definedName>
    <definedName name="EER" localSheetId="15">#REF!</definedName>
    <definedName name="EER" localSheetId="16">#REF!</definedName>
    <definedName name="EER" localSheetId="1">#REF!</definedName>
    <definedName name="EER" localSheetId="8">#REF!</definedName>
    <definedName name="EER" localSheetId="11">#REF!</definedName>
    <definedName name="EER" localSheetId="2">#REF!</definedName>
    <definedName name="EER" localSheetId="3">#REF!</definedName>
    <definedName name="EER" localSheetId="10">#REF!</definedName>
    <definedName name="EER" localSheetId="4">#REF!</definedName>
    <definedName name="EER" localSheetId="7">#REF!</definedName>
    <definedName name="EER" localSheetId="17">#REF!</definedName>
    <definedName name="EER" localSheetId="18">#REF!</definedName>
    <definedName name="EER" localSheetId="5">#REF!</definedName>
    <definedName name="EER" localSheetId="19">#REF!</definedName>
    <definedName name="EER" localSheetId="20">#REF!</definedName>
    <definedName name="EER" localSheetId="21">#REF!</definedName>
    <definedName name="EER" localSheetId="9">#REF!</definedName>
    <definedName name="EER" localSheetId="6">#REF!</definedName>
    <definedName name="EER" localSheetId="22">#REF!</definedName>
    <definedName name="EER">#REF!</definedName>
    <definedName name="EERRRR" localSheetId="12">#REF!</definedName>
    <definedName name="EERRRR" localSheetId="13">#REF!</definedName>
    <definedName name="EERRRR" localSheetId="14">#REF!</definedName>
    <definedName name="EERRRR" localSheetId="0">#REF!</definedName>
    <definedName name="EERRRR" localSheetId="15">#REF!</definedName>
    <definedName name="EERRRR" localSheetId="16">#REF!</definedName>
    <definedName name="EERRRR" localSheetId="1">#REF!</definedName>
    <definedName name="EERRRR" localSheetId="8">#REF!</definedName>
    <definedName name="EERRRR" localSheetId="11">#REF!</definedName>
    <definedName name="EERRRR" localSheetId="2">#REF!</definedName>
    <definedName name="EERRRR" localSheetId="3">#REF!</definedName>
    <definedName name="EERRRR" localSheetId="10">#REF!</definedName>
    <definedName name="EERRRR" localSheetId="4">#REF!</definedName>
    <definedName name="EERRRR" localSheetId="7">#REF!</definedName>
    <definedName name="EERRRR" localSheetId="17">#REF!</definedName>
    <definedName name="EERRRR" localSheetId="18">#REF!</definedName>
    <definedName name="EERRRR" localSheetId="5">#REF!</definedName>
    <definedName name="EERRRR" localSheetId="19">#REF!</definedName>
    <definedName name="EERRRR" localSheetId="20">#REF!</definedName>
    <definedName name="EERRRR" localSheetId="21">#REF!</definedName>
    <definedName name="EERRRR" localSheetId="9">#REF!</definedName>
    <definedName name="EERRRR" localSheetId="6">#REF!</definedName>
    <definedName name="EERRRR" localSheetId="22">#REF!</definedName>
    <definedName name="EERRRR">#REF!</definedName>
    <definedName name="ERRRR" localSheetId="12">#REF!</definedName>
    <definedName name="ERRRR" localSheetId="13">#REF!</definedName>
    <definedName name="ERRRR" localSheetId="14">#REF!</definedName>
    <definedName name="ERRRR" localSheetId="0">#REF!</definedName>
    <definedName name="ERRRR" localSheetId="15">#REF!</definedName>
    <definedName name="ERRRR" localSheetId="16">#REF!</definedName>
    <definedName name="ERRRR" localSheetId="1">#REF!</definedName>
    <definedName name="ERRRR" localSheetId="8">#REF!</definedName>
    <definedName name="ERRRR" localSheetId="11">#REF!</definedName>
    <definedName name="ERRRR" localSheetId="2">#REF!</definedName>
    <definedName name="ERRRR" localSheetId="3">#REF!</definedName>
    <definedName name="ERRRR" localSheetId="10">#REF!</definedName>
    <definedName name="ERRRR" localSheetId="4">#REF!</definedName>
    <definedName name="ERRRR" localSheetId="7">#REF!</definedName>
    <definedName name="ERRRR" localSheetId="17">#REF!</definedName>
    <definedName name="ERRRR" localSheetId="18">#REF!</definedName>
    <definedName name="ERRRR" localSheetId="5">#REF!</definedName>
    <definedName name="ERRRR" localSheetId="19">#REF!</definedName>
    <definedName name="ERRRR" localSheetId="20">#REF!</definedName>
    <definedName name="ERRRR" localSheetId="21">#REF!</definedName>
    <definedName name="ERRRR" localSheetId="9">#REF!</definedName>
    <definedName name="ERRRR" localSheetId="6">#REF!</definedName>
    <definedName name="ERRRR" localSheetId="22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12">#REF!</definedName>
    <definedName name="_xlnm.Extract" localSheetId="13">#REF!</definedName>
    <definedName name="_xlnm.Extract" localSheetId="14">#REF!</definedName>
    <definedName name="_xlnm.Extract" localSheetId="0">#REF!</definedName>
    <definedName name="_xlnm.Extract" localSheetId="15">#REF!</definedName>
    <definedName name="_xlnm.Extract" localSheetId="16">#REF!</definedName>
    <definedName name="_xlnm.Extract" localSheetId="1">#REF!</definedName>
    <definedName name="_xlnm.Extract" localSheetId="8">#REF!</definedName>
    <definedName name="_xlnm.Extract" localSheetId="11">#REF!</definedName>
    <definedName name="_xlnm.Extract" localSheetId="2">#REF!</definedName>
    <definedName name="_xlnm.Extract" localSheetId="3">#REF!</definedName>
    <definedName name="_xlnm.Extract" localSheetId="10">#REF!</definedName>
    <definedName name="_xlnm.Extract" localSheetId="4">#REF!</definedName>
    <definedName name="_xlnm.Extract" localSheetId="7">#REF!</definedName>
    <definedName name="_xlnm.Extract" localSheetId="17">#REF!</definedName>
    <definedName name="_xlnm.Extract" localSheetId="18">#REF!</definedName>
    <definedName name="_xlnm.Extract" localSheetId="5">#REF!</definedName>
    <definedName name="_xlnm.Extract" localSheetId="19">#REF!</definedName>
    <definedName name="_xlnm.Extract" localSheetId="20">#REF!</definedName>
    <definedName name="_xlnm.Extract" localSheetId="21">#REF!</definedName>
    <definedName name="_xlnm.Extract" localSheetId="9">#REF!</definedName>
    <definedName name="_xlnm.Extract" localSheetId="6">#REF!</definedName>
    <definedName name="_xlnm.Extract" localSheetId="22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12">'LOT 10 FX PLAF BAT A T06'!$1:$5</definedName>
    <definedName name="_xlnm.Print_Titles" localSheetId="13">'LOT 10 FX PLAF BAT B T06'!$1:$5</definedName>
    <definedName name="_xlnm.Print_Titles" localSheetId="14">'LOT 10 FX PLAF BAT C T06'!$1:$5</definedName>
    <definedName name="_xlnm.Print_Titles" localSheetId="0">'LOT 10 FX PLAF BAT D TF'!$1:$5</definedName>
    <definedName name="_xlnm.Print_Titles" localSheetId="15">'LOT 10 FX PLAF BAT E T06'!$1:$5</definedName>
    <definedName name="_xlnm.Print_Titles" localSheetId="16">'LOT 10 FX PLAF BAT F T06'!$1:$5</definedName>
    <definedName name="_xlnm.Print_Titles" localSheetId="1">'LOT 10 FX PLAF BAT G TF'!$1:$5</definedName>
    <definedName name="_xlnm.Print_Titles" localSheetId="8">'LOT 10 FX PLAF BAT G TO2'!$1:$5</definedName>
    <definedName name="_xlnm.Print_Titles" localSheetId="11">'LOT 10 FX PLAF BAT H T05'!$1:$5</definedName>
    <definedName name="_xlnm.Print_Titles" localSheetId="2">'LOT 10 FX PLAF BAT H TF'!$1:$5</definedName>
    <definedName name="_xlnm.Print_Titles" localSheetId="3">'LOT 10 FX PLAF BAT I TF'!$1:$5</definedName>
    <definedName name="_xlnm.Print_Titles" localSheetId="10">'LOT 10 FX PLAF BAT J T04'!$1:$5</definedName>
    <definedName name="_xlnm.Print_Titles" localSheetId="4">'LOT 10 FX PLAF BAT K TF'!$1:$5</definedName>
    <definedName name="_xlnm.Print_Titles" localSheetId="7">'LOT 10 FX PLAF BAT K TO1'!$1:$5</definedName>
    <definedName name="_xlnm.Print_Titles" localSheetId="17">'LOT 10 FX PLAF BAT L T06'!$1:$5</definedName>
    <definedName name="_xlnm.Print_Titles" localSheetId="18">'LOT 10 FX PLAF BAT M T06'!$1:$5</definedName>
    <definedName name="_xlnm.Print_Titles" localSheetId="5">'LOT 10 FX PLAF BAT N TF'!$1:$5</definedName>
    <definedName name="_xlnm.Print_Titles" localSheetId="19">'LOT 10 FX PLAF BAT O T06'!$1:$5</definedName>
    <definedName name="_xlnm.Print_Titles" localSheetId="20">'LOT 10 FX PLAF BAT P T06'!$1:$5</definedName>
    <definedName name="_xlnm.Print_Titles" localSheetId="21">'LOT 10 FX PLAF BAT T T06'!$1:$5</definedName>
    <definedName name="_xlnm.Print_Titles" localSheetId="9">'LOT 10 FX PLAF BAT U T03'!$1:$5</definedName>
    <definedName name="_xlnm.Print_Titles" localSheetId="6">'LOT 10 FX PLAF BAT U TF'!$1:$5</definedName>
    <definedName name="_xlnm.Print_Titles" localSheetId="22">'LOT 10 FX PLAF BAT V T06'!$1:$5</definedName>
    <definedName name="ingenc2">#N/A</definedName>
    <definedName name="jki" localSheetId="12">#REF!</definedName>
    <definedName name="jki" localSheetId="13">#REF!</definedName>
    <definedName name="jki" localSheetId="14">#REF!</definedName>
    <definedName name="jki" localSheetId="0">#REF!</definedName>
    <definedName name="jki" localSheetId="15">#REF!</definedName>
    <definedName name="jki" localSheetId="16">#REF!</definedName>
    <definedName name="jki" localSheetId="1">#REF!</definedName>
    <definedName name="jki" localSheetId="8">#REF!</definedName>
    <definedName name="jki" localSheetId="11">#REF!</definedName>
    <definedName name="jki" localSheetId="2">#REF!</definedName>
    <definedName name="jki" localSheetId="3">#REF!</definedName>
    <definedName name="jki" localSheetId="10">#REF!</definedName>
    <definedName name="jki" localSheetId="4">#REF!</definedName>
    <definedName name="jki" localSheetId="7">#REF!</definedName>
    <definedName name="jki" localSheetId="17">#REF!</definedName>
    <definedName name="jki" localSheetId="18">#REF!</definedName>
    <definedName name="jki" localSheetId="5">#REF!</definedName>
    <definedName name="jki" localSheetId="19">#REF!</definedName>
    <definedName name="jki" localSheetId="20">#REF!</definedName>
    <definedName name="jki" localSheetId="21">#REF!</definedName>
    <definedName name="jki" localSheetId="9">#REF!</definedName>
    <definedName name="jki" localSheetId="6">#REF!</definedName>
    <definedName name="jki" localSheetId="22">#REF!</definedName>
    <definedName name="jki">#REF!</definedName>
    <definedName name="K.matériel">#N/A</definedName>
    <definedName name="K_MO">#N/A</definedName>
    <definedName name="kjhg" localSheetId="12">#REF!</definedName>
    <definedName name="kjhg" localSheetId="13">#REF!</definedName>
    <definedName name="kjhg" localSheetId="14">#REF!</definedName>
    <definedName name="kjhg" localSheetId="0">#REF!</definedName>
    <definedName name="kjhg" localSheetId="15">#REF!</definedName>
    <definedName name="kjhg" localSheetId="16">#REF!</definedName>
    <definedName name="kjhg" localSheetId="1">#REF!</definedName>
    <definedName name="kjhg" localSheetId="8">#REF!</definedName>
    <definedName name="kjhg" localSheetId="11">#REF!</definedName>
    <definedName name="kjhg" localSheetId="2">#REF!</definedName>
    <definedName name="kjhg" localSheetId="3">#REF!</definedName>
    <definedName name="kjhg" localSheetId="10">#REF!</definedName>
    <definedName name="kjhg" localSheetId="4">#REF!</definedName>
    <definedName name="kjhg" localSheetId="7">#REF!</definedName>
    <definedName name="kjhg" localSheetId="17">#REF!</definedName>
    <definedName name="kjhg" localSheetId="18">#REF!</definedName>
    <definedName name="kjhg" localSheetId="5">#REF!</definedName>
    <definedName name="kjhg" localSheetId="19">#REF!</definedName>
    <definedName name="kjhg" localSheetId="20">#REF!</definedName>
    <definedName name="kjhg" localSheetId="21">#REF!</definedName>
    <definedName name="kjhg" localSheetId="9">#REF!</definedName>
    <definedName name="kjhg" localSheetId="6">#REF!</definedName>
    <definedName name="kjhg" localSheetId="22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12">#REF!</definedName>
    <definedName name="plom" localSheetId="13">#REF!</definedName>
    <definedName name="plom" localSheetId="14">#REF!</definedName>
    <definedName name="plom" localSheetId="0">#REF!</definedName>
    <definedName name="plom" localSheetId="15">#REF!</definedName>
    <definedName name="plom" localSheetId="16">#REF!</definedName>
    <definedName name="plom" localSheetId="1">#REF!</definedName>
    <definedName name="plom" localSheetId="8">#REF!</definedName>
    <definedName name="plom" localSheetId="11">#REF!</definedName>
    <definedName name="plom" localSheetId="2">#REF!</definedName>
    <definedName name="plom" localSheetId="3">#REF!</definedName>
    <definedName name="plom" localSheetId="10">#REF!</definedName>
    <definedName name="plom" localSheetId="4">#REF!</definedName>
    <definedName name="plom" localSheetId="7">#REF!</definedName>
    <definedName name="plom" localSheetId="17">#REF!</definedName>
    <definedName name="plom" localSheetId="18">#REF!</definedName>
    <definedName name="plom" localSheetId="5">#REF!</definedName>
    <definedName name="plom" localSheetId="19">#REF!</definedName>
    <definedName name="plom" localSheetId="20">#REF!</definedName>
    <definedName name="plom" localSheetId="21">#REF!</definedName>
    <definedName name="plom" localSheetId="9">#REF!</definedName>
    <definedName name="plom" localSheetId="6">#REF!</definedName>
    <definedName name="plom" localSheetId="22">#REF!</definedName>
    <definedName name="plom">#REF!</definedName>
    <definedName name="revetementb">#N/A</definedName>
    <definedName name="revetementc">#N/A</definedName>
    <definedName name="rtre" localSheetId="1">#REF!</definedName>
    <definedName name="rtre" localSheetId="8">#REF!</definedName>
    <definedName name="rtre" localSheetId="11">#REF!</definedName>
    <definedName name="rtre" localSheetId="2">#REF!</definedName>
    <definedName name="rtre" localSheetId="3">#REF!</definedName>
    <definedName name="rtre" localSheetId="10">#REF!</definedName>
    <definedName name="rtre">#REF!</definedName>
    <definedName name="t_1" localSheetId="1">#REF!</definedName>
    <definedName name="t_1" localSheetId="8">#REF!</definedName>
    <definedName name="t_1" localSheetId="11">#REF!</definedName>
    <definedName name="t_1" localSheetId="2">#REF!</definedName>
    <definedName name="t_1" localSheetId="3">#REF!</definedName>
    <definedName name="t_1" localSheetId="10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1">#REF!</definedName>
    <definedName name="terrze" localSheetId="8">#REF!</definedName>
    <definedName name="terrze" localSheetId="11">#REF!</definedName>
    <definedName name="terrze" localSheetId="2">#REF!</definedName>
    <definedName name="terrze" localSheetId="3">#REF!</definedName>
    <definedName name="terrze" localSheetId="10">#REF!</definedName>
    <definedName name="terrze">#REF!</definedName>
    <definedName name="TGBTCOMM">#N/A</definedName>
    <definedName name="thyprim">#N/A</definedName>
    <definedName name="TREEEEZA" localSheetId="12">#REF!</definedName>
    <definedName name="TREEEEZA" localSheetId="13">#REF!</definedName>
    <definedName name="TREEEEZA" localSheetId="14">#REF!</definedName>
    <definedName name="TREEEEZA" localSheetId="0">#REF!</definedName>
    <definedName name="TREEEEZA" localSheetId="15">#REF!</definedName>
    <definedName name="TREEEEZA" localSheetId="16">#REF!</definedName>
    <definedName name="TREEEEZA" localSheetId="1">#REF!</definedName>
    <definedName name="TREEEEZA" localSheetId="8">#REF!</definedName>
    <definedName name="TREEEEZA" localSheetId="11">#REF!</definedName>
    <definedName name="TREEEEZA" localSheetId="2">#REF!</definedName>
    <definedName name="TREEEEZA" localSheetId="3">#REF!</definedName>
    <definedName name="TREEEEZA" localSheetId="10">#REF!</definedName>
    <definedName name="TREEEEZA" localSheetId="4">#REF!</definedName>
    <definedName name="TREEEEZA" localSheetId="7">#REF!</definedName>
    <definedName name="TREEEEZA" localSheetId="17">#REF!</definedName>
    <definedName name="TREEEEZA" localSheetId="18">#REF!</definedName>
    <definedName name="TREEEEZA" localSheetId="5">#REF!</definedName>
    <definedName name="TREEEEZA" localSheetId="19">#REF!</definedName>
    <definedName name="TREEEEZA" localSheetId="20">#REF!</definedName>
    <definedName name="TREEEEZA" localSheetId="21">#REF!</definedName>
    <definedName name="TREEEEZA" localSheetId="9">#REF!</definedName>
    <definedName name="TREEEEZA" localSheetId="6">#REF!</definedName>
    <definedName name="TREEEEZA" localSheetId="22">#REF!</definedName>
    <definedName name="TREEEEZA">#REF!</definedName>
    <definedName name="TRZE" localSheetId="12">#REF!</definedName>
    <definedName name="TRZE" localSheetId="13">#REF!</definedName>
    <definedName name="TRZE" localSheetId="14">#REF!</definedName>
    <definedName name="TRZE" localSheetId="0">#REF!</definedName>
    <definedName name="TRZE" localSheetId="15">#REF!</definedName>
    <definedName name="TRZE" localSheetId="16">#REF!</definedName>
    <definedName name="TRZE" localSheetId="1">#REF!</definedName>
    <definedName name="TRZE" localSheetId="8">#REF!</definedName>
    <definedName name="TRZE" localSheetId="11">#REF!</definedName>
    <definedName name="TRZE" localSheetId="2">#REF!</definedName>
    <definedName name="TRZE" localSheetId="3">#REF!</definedName>
    <definedName name="TRZE" localSheetId="10">#REF!</definedName>
    <definedName name="TRZE" localSheetId="4">#REF!</definedName>
    <definedName name="TRZE" localSheetId="7">#REF!</definedName>
    <definedName name="TRZE" localSheetId="17">#REF!</definedName>
    <definedName name="TRZE" localSheetId="18">#REF!</definedName>
    <definedName name="TRZE" localSheetId="5">#REF!</definedName>
    <definedName name="TRZE" localSheetId="19">#REF!</definedName>
    <definedName name="TRZE" localSheetId="20">#REF!</definedName>
    <definedName name="TRZE" localSheetId="21">#REF!</definedName>
    <definedName name="TRZE" localSheetId="9">#REF!</definedName>
    <definedName name="TRZE" localSheetId="6">#REF!</definedName>
    <definedName name="TRZE" localSheetId="22">#REF!</definedName>
    <definedName name="TRZE">#REF!</definedName>
    <definedName name="ttran">#N/A</definedName>
    <definedName name="TTTTTT" localSheetId="12">#REF!</definedName>
    <definedName name="TTTTTT" localSheetId="13">#REF!</definedName>
    <definedName name="TTTTTT" localSheetId="14">#REF!</definedName>
    <definedName name="TTTTTT" localSheetId="0">#REF!</definedName>
    <definedName name="TTTTTT" localSheetId="15">#REF!</definedName>
    <definedName name="TTTTTT" localSheetId="16">#REF!</definedName>
    <definedName name="TTTTTT" localSheetId="1">#REF!</definedName>
    <definedName name="TTTTTT" localSheetId="8">#REF!</definedName>
    <definedName name="TTTTTT" localSheetId="11">#REF!</definedName>
    <definedName name="TTTTTT" localSheetId="2">#REF!</definedName>
    <definedName name="TTTTTT" localSheetId="3">#REF!</definedName>
    <definedName name="TTTTTT" localSheetId="10">#REF!</definedName>
    <definedName name="TTTTTT" localSheetId="4">#REF!</definedName>
    <definedName name="TTTTTT" localSheetId="7">#REF!</definedName>
    <definedName name="TTTTTT" localSheetId="17">#REF!</definedName>
    <definedName name="TTTTTT" localSheetId="18">#REF!</definedName>
    <definedName name="TTTTTT" localSheetId="5">#REF!</definedName>
    <definedName name="TTTTTT" localSheetId="19">#REF!</definedName>
    <definedName name="TTTTTT" localSheetId="20">#REF!</definedName>
    <definedName name="TTTTTT" localSheetId="21">#REF!</definedName>
    <definedName name="TTTTTT" localSheetId="9">#REF!</definedName>
    <definedName name="TTTTTT" localSheetId="6">#REF!</definedName>
    <definedName name="TTTTTT" localSheetId="22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12">#REF!</definedName>
    <definedName name="TXCMOP" localSheetId="13">#REF!</definedName>
    <definedName name="TXCMOP" localSheetId="14">#REF!</definedName>
    <definedName name="TXCMOP" localSheetId="0">#REF!</definedName>
    <definedName name="TXCMOP" localSheetId="15">#REF!</definedName>
    <definedName name="TXCMOP" localSheetId="16">#REF!</definedName>
    <definedName name="TXCMOP" localSheetId="1">#REF!</definedName>
    <definedName name="TXCMOP" localSheetId="8">#REF!</definedName>
    <definedName name="TXCMOP" localSheetId="11">#REF!</definedName>
    <definedName name="TXCMOP" localSheetId="2">#REF!</definedName>
    <definedName name="TXCMOP" localSheetId="3">#REF!</definedName>
    <definedName name="TXCMOP" localSheetId="10">#REF!</definedName>
    <definedName name="TXCMOP" localSheetId="4">#REF!</definedName>
    <definedName name="TXCMOP" localSheetId="7">#REF!</definedName>
    <definedName name="TXCMOP" localSheetId="17">#REF!</definedName>
    <definedName name="TXCMOP" localSheetId="18">#REF!</definedName>
    <definedName name="TXCMOP" localSheetId="5">#REF!</definedName>
    <definedName name="TXCMOP" localSheetId="19">#REF!</definedName>
    <definedName name="TXCMOP" localSheetId="20">#REF!</definedName>
    <definedName name="TXCMOP" localSheetId="21">#REF!</definedName>
    <definedName name="TXCMOP" localSheetId="9">#REF!</definedName>
    <definedName name="TXCMOP" localSheetId="6">#REF!</definedName>
    <definedName name="TXCMOP" localSheetId="22">#REF!</definedName>
    <definedName name="TXCMOP">#REF!</definedName>
    <definedName name="txcomp">#N/A</definedName>
    <definedName name="txind">#N/A</definedName>
    <definedName name="vente">#N/A</definedName>
    <definedName name="www" localSheetId="12">#REF!</definedName>
    <definedName name="www" localSheetId="13">#REF!</definedName>
    <definedName name="www" localSheetId="14">#REF!</definedName>
    <definedName name="www" localSheetId="0">#REF!</definedName>
    <definedName name="www" localSheetId="15">#REF!</definedName>
    <definedName name="www" localSheetId="16">#REF!</definedName>
    <definedName name="www" localSheetId="1">#REF!</definedName>
    <definedName name="www" localSheetId="8">#REF!</definedName>
    <definedName name="www" localSheetId="11">#REF!</definedName>
    <definedName name="www" localSheetId="2">#REF!</definedName>
    <definedName name="www" localSheetId="3">#REF!</definedName>
    <definedName name="www" localSheetId="10">#REF!</definedName>
    <definedName name="www" localSheetId="4">#REF!</definedName>
    <definedName name="www" localSheetId="7">#REF!</definedName>
    <definedName name="www" localSheetId="17">#REF!</definedName>
    <definedName name="www" localSheetId="18">#REF!</definedName>
    <definedName name="www" localSheetId="5">#REF!</definedName>
    <definedName name="www" localSheetId="19">#REF!</definedName>
    <definedName name="www" localSheetId="20">#REF!</definedName>
    <definedName name="www" localSheetId="21">#REF!</definedName>
    <definedName name="www" localSheetId="9">#REF!</definedName>
    <definedName name="www" localSheetId="6">#REF!</definedName>
    <definedName name="www" localSheetId="22">#REF!</definedName>
    <definedName name="www">#REF!</definedName>
    <definedName name="ZASC" localSheetId="12">#REF!</definedName>
    <definedName name="ZASC" localSheetId="13">#REF!</definedName>
    <definedName name="ZASC" localSheetId="14">#REF!</definedName>
    <definedName name="ZASC" localSheetId="0">#REF!</definedName>
    <definedName name="ZASC" localSheetId="15">#REF!</definedName>
    <definedName name="ZASC" localSheetId="16">#REF!</definedName>
    <definedName name="ZASC" localSheetId="1">#REF!</definedName>
    <definedName name="ZASC" localSheetId="8">#REF!</definedName>
    <definedName name="ZASC" localSheetId="11">#REF!</definedName>
    <definedName name="ZASC" localSheetId="2">#REF!</definedName>
    <definedName name="ZASC" localSheetId="3">#REF!</definedName>
    <definedName name="ZASC" localSheetId="10">#REF!</definedName>
    <definedName name="ZASC" localSheetId="4">#REF!</definedName>
    <definedName name="ZASC" localSheetId="7">#REF!</definedName>
    <definedName name="ZASC" localSheetId="17">#REF!</definedName>
    <definedName name="ZASC" localSheetId="18">#REF!</definedName>
    <definedName name="ZASC" localSheetId="5">#REF!</definedName>
    <definedName name="ZASC" localSheetId="19">#REF!</definedName>
    <definedName name="ZASC" localSheetId="20">#REF!</definedName>
    <definedName name="ZASC" localSheetId="21">#REF!</definedName>
    <definedName name="ZASC" localSheetId="9">#REF!</definedName>
    <definedName name="ZASC" localSheetId="6">#REF!</definedName>
    <definedName name="ZASC" localSheetId="22">#REF!</definedName>
    <definedName name="ZASC">#REF!</definedName>
    <definedName name="_xlnm.Print_Area" localSheetId="12">'LOT 10 FX PLAF BAT A T06'!$A$1:$F$60</definedName>
    <definedName name="_xlnm.Print_Area" localSheetId="13">'LOT 10 FX PLAF BAT B T06'!$A$1:$F$86</definedName>
    <definedName name="_xlnm.Print_Area" localSheetId="14">'LOT 10 FX PLAF BAT C T06'!$A$1:$F$98</definedName>
    <definedName name="_xlnm.Print_Area" localSheetId="0">'LOT 10 FX PLAF BAT D TF'!$A$1:$F$85</definedName>
    <definedName name="_xlnm.Print_Area" localSheetId="15">'LOT 10 FX PLAF BAT E T06'!$A$1:$F$64</definedName>
    <definedName name="_xlnm.Print_Area" localSheetId="16">'LOT 10 FX PLAF BAT F T06'!$A$1:$F$67</definedName>
    <definedName name="_xlnm.Print_Area" localSheetId="1">'LOT 10 FX PLAF BAT G TF'!$A$1:$F$182</definedName>
    <definedName name="_xlnm.Print_Area" localSheetId="8">'LOT 10 FX PLAF BAT G TO2'!$A$1:$F$80</definedName>
    <definedName name="_xlnm.Print_Area" localSheetId="11">'LOT 10 FX PLAF BAT H T05'!$A$1:$F$89</definedName>
    <definedName name="_xlnm.Print_Area" localSheetId="2">'LOT 10 FX PLAF BAT H TF'!$A$1:$F$150</definedName>
    <definedName name="_xlnm.Print_Area" localSheetId="3">'LOT 10 FX PLAF BAT I TF'!$A$1:$F$69</definedName>
    <definedName name="_xlnm.Print_Area" localSheetId="10">'LOT 10 FX PLAF BAT J T04'!$A$1:$F$114</definedName>
    <definedName name="_xlnm.Print_Area" localSheetId="4">'LOT 10 FX PLAF BAT K TF'!$A$1:$F$290</definedName>
    <definedName name="_xlnm.Print_Area" localSheetId="7">'LOT 10 FX PLAF BAT K TO1'!$A$1:$F$103</definedName>
    <definedName name="_xlnm.Print_Area" localSheetId="17">'LOT 10 FX PLAF BAT L T06'!$A$1:$F$76</definedName>
    <definedName name="_xlnm.Print_Area" localSheetId="18">'LOT 10 FX PLAF BAT M T06'!$A$1:$F$54</definedName>
    <definedName name="_xlnm.Print_Area" localSheetId="5">'LOT 10 FX PLAF BAT N TF'!$A$1:$F$90</definedName>
    <definedName name="_xlnm.Print_Area" localSheetId="19">'LOT 10 FX PLAF BAT O T06'!$A$1:$F$91</definedName>
    <definedName name="_xlnm.Print_Area" localSheetId="20">'LOT 10 FX PLAF BAT P T06'!$A$1:$F$91</definedName>
    <definedName name="_xlnm.Print_Area" localSheetId="21">'LOT 10 FX PLAF BAT T T06'!$A$1:$F$53</definedName>
    <definedName name="_xlnm.Print_Area" localSheetId="9">'LOT 10 FX PLAF BAT U T03'!#REF!</definedName>
    <definedName name="_xlnm.Print_Area" localSheetId="6">'LOT 10 FX PLAF BAT U TF'!$A$1:$F$66</definedName>
    <definedName name="_xlnm.Print_Area" localSheetId="22">'LOT 10 FX PLAF BAT V T06'!$A$1:$F$64</definedName>
    <definedName name="zz" localSheetId="1">#REF!</definedName>
    <definedName name="zz" localSheetId="8">#REF!</definedName>
    <definedName name="zz" localSheetId="11">#REF!</definedName>
    <definedName name="zz" localSheetId="2">#REF!</definedName>
    <definedName name="zz" localSheetId="3">#REF!</definedName>
    <definedName name="zz" localSheetId="10">#REF!</definedName>
    <definedName name="zz">#REF!</definedName>
    <definedName name="zzz" localSheetId="1">#REF!</definedName>
    <definedName name="zzz" localSheetId="8">#REF!</definedName>
    <definedName name="zzz" localSheetId="11">#REF!</definedName>
    <definedName name="zzz" localSheetId="2">#REF!</definedName>
    <definedName name="zzz" localSheetId="3">#REF!</definedName>
    <definedName name="zzz" localSheetId="10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23" l="1"/>
  <c r="A8" i="23"/>
  <c r="A9" i="23" s="1"/>
  <c r="A10" i="23" s="1"/>
  <c r="A11" i="23" s="1"/>
  <c r="C48" i="22"/>
  <c r="A44" i="22"/>
  <c r="D40" i="22"/>
  <c r="C30" i="22"/>
  <c r="A9" i="22"/>
  <c r="A10" i="22" s="1"/>
  <c r="A11" i="22" s="1"/>
  <c r="A8" i="22"/>
  <c r="C86" i="21"/>
  <c r="D60" i="21"/>
  <c r="D59" i="21"/>
  <c r="D58" i="21"/>
  <c r="D57" i="21"/>
  <c r="D56" i="21"/>
  <c r="D55" i="21"/>
  <c r="D54" i="21"/>
  <c r="D53" i="21"/>
  <c r="D52" i="21"/>
  <c r="D51" i="21"/>
  <c r="D50" i="21"/>
  <c r="D49" i="21"/>
  <c r="D48" i="21"/>
  <c r="D47" i="21"/>
  <c r="D46" i="21"/>
  <c r="C42" i="21"/>
  <c r="A38" i="21"/>
  <c r="A44" i="21" s="1"/>
  <c r="C30" i="21"/>
  <c r="A9" i="21"/>
  <c r="A10" i="21" s="1"/>
  <c r="A11" i="21" s="1"/>
  <c r="A8" i="21"/>
  <c r="C86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A44" i="20"/>
  <c r="A64" i="20" s="1"/>
  <c r="C42" i="20"/>
  <c r="A39" i="20"/>
  <c r="A38" i="20"/>
  <c r="C30" i="20"/>
  <c r="A8" i="20"/>
  <c r="A9" i="20" s="1"/>
  <c r="A10" i="20" s="1"/>
  <c r="A11" i="20" s="1"/>
  <c r="C49" i="19"/>
  <c r="C42" i="19"/>
  <c r="A38" i="19"/>
  <c r="A39" i="19" s="1"/>
  <c r="C30" i="19"/>
  <c r="A9" i="19"/>
  <c r="A10" i="19" s="1"/>
  <c r="A11" i="19" s="1"/>
  <c r="A8" i="19"/>
  <c r="C71" i="18"/>
  <c r="D52" i="18"/>
  <c r="D51" i="18"/>
  <c r="D50" i="18"/>
  <c r="D49" i="18"/>
  <c r="D48" i="18"/>
  <c r="D47" i="18"/>
  <c r="D46" i="18"/>
  <c r="A44" i="18"/>
  <c r="A45" i="18" s="1"/>
  <c r="C42" i="18"/>
  <c r="A39" i="18"/>
  <c r="A38" i="18"/>
  <c r="A8" i="18"/>
  <c r="A9" i="18" s="1"/>
  <c r="A10" i="18" s="1"/>
  <c r="A11" i="18" s="1"/>
  <c r="C62" i="17"/>
  <c r="D49" i="17"/>
  <c r="D48" i="17"/>
  <c r="D47" i="17"/>
  <c r="D46" i="17"/>
  <c r="C42" i="17"/>
  <c r="A38" i="17"/>
  <c r="A44" i="17" s="1"/>
  <c r="A9" i="17"/>
  <c r="A10" i="17" s="1"/>
  <c r="A11" i="17" s="1"/>
  <c r="A8" i="17"/>
  <c r="C60" i="16"/>
  <c r="A52" i="16"/>
  <c r="D48" i="16"/>
  <c r="D47" i="16"/>
  <c r="D46" i="16"/>
  <c r="A44" i="16"/>
  <c r="C42" i="16"/>
  <c r="A38" i="16"/>
  <c r="A9" i="16"/>
  <c r="A10" i="16" s="1"/>
  <c r="A11" i="16" s="1"/>
  <c r="A8" i="16"/>
  <c r="C93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A44" i="15"/>
  <c r="A67" i="15" s="1"/>
  <c r="C42" i="15"/>
  <c r="A38" i="15"/>
  <c r="A39" i="15" s="1"/>
  <c r="C30" i="15"/>
  <c r="A8" i="15"/>
  <c r="A9" i="15" s="1"/>
  <c r="A10" i="15" s="1"/>
  <c r="A11" i="15" s="1"/>
  <c r="C81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A44" i="14"/>
  <c r="A45" i="14" s="1"/>
  <c r="C42" i="14"/>
  <c r="A38" i="14"/>
  <c r="C30" i="14"/>
  <c r="A8" i="14"/>
  <c r="A9" i="14" s="1"/>
  <c r="A10" i="14" s="1"/>
  <c r="A11" i="14" s="1"/>
  <c r="C55" i="13"/>
  <c r="D46" i="13"/>
  <c r="A44" i="13"/>
  <c r="A45" i="13" s="1"/>
  <c r="C42" i="13"/>
  <c r="A38" i="13"/>
  <c r="A39" i="13" s="1"/>
  <c r="A8" i="13"/>
  <c r="A9" i="13" s="1"/>
  <c r="A10" i="13" s="1"/>
  <c r="A11" i="13" s="1"/>
  <c r="C84" i="12"/>
  <c r="D82" i="12"/>
  <c r="C78" i="12"/>
  <c r="A60" i="12"/>
  <c r="C58" i="12"/>
  <c r="D56" i="12"/>
  <c r="D55" i="12"/>
  <c r="D54" i="12"/>
  <c r="D53" i="12"/>
  <c r="D52" i="12"/>
  <c r="D51" i="12"/>
  <c r="D50" i="12"/>
  <c r="D49" i="12"/>
  <c r="D48" i="12"/>
  <c r="A46" i="12"/>
  <c r="A47" i="12" s="1"/>
  <c r="C44" i="12"/>
  <c r="D42" i="12"/>
  <c r="A40" i="12"/>
  <c r="A41" i="12" s="1"/>
  <c r="C32" i="12"/>
  <c r="A9" i="12"/>
  <c r="A10" i="12" s="1"/>
  <c r="A11" i="12" s="1"/>
  <c r="A8" i="12"/>
  <c r="C109" i="11"/>
  <c r="D107" i="11"/>
  <c r="D106" i="11"/>
  <c r="D105" i="11"/>
  <c r="D104" i="11"/>
  <c r="D103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C44" i="11"/>
  <c r="A40" i="11"/>
  <c r="A46" i="11" s="1"/>
  <c r="A8" i="11"/>
  <c r="A9" i="11" s="1"/>
  <c r="A10" i="11" s="1"/>
  <c r="A11" i="11" s="1"/>
  <c r="C55" i="10"/>
  <c r="A8" i="10"/>
  <c r="A9" i="10" s="1"/>
  <c r="A10" i="10" s="1"/>
  <c r="A11" i="10" s="1"/>
  <c r="C75" i="9"/>
  <c r="D73" i="9"/>
  <c r="D72" i="9"/>
  <c r="D71" i="9"/>
  <c r="D70" i="9"/>
  <c r="D69" i="9"/>
  <c r="D68" i="9"/>
  <c r="D67" i="9"/>
  <c r="D66" i="9"/>
  <c r="D65" i="9"/>
  <c r="D64" i="9"/>
  <c r="D63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A41" i="9"/>
  <c r="C32" i="9"/>
  <c r="A8" i="9"/>
  <c r="A9" i="9" s="1"/>
  <c r="A10" i="9" s="1"/>
  <c r="A11" i="9" s="1"/>
  <c r="C98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1" i="8"/>
  <c r="D50" i="8"/>
  <c r="D49" i="8"/>
  <c r="D48" i="8"/>
  <c r="D47" i="8"/>
  <c r="D46" i="8"/>
  <c r="D45" i="8"/>
  <c r="D44" i="8"/>
  <c r="D43" i="8"/>
  <c r="A41" i="8"/>
  <c r="C32" i="8"/>
  <c r="A9" i="8"/>
  <c r="A10" i="8" s="1"/>
  <c r="A11" i="8" s="1"/>
  <c r="A8" i="8"/>
  <c r="C61" i="7"/>
  <c r="A11" i="7"/>
  <c r="A10" i="7"/>
  <c r="A9" i="7"/>
  <c r="A8" i="7"/>
  <c r="C85" i="6"/>
  <c r="D59" i="6"/>
  <c r="D58" i="6"/>
  <c r="D57" i="6"/>
  <c r="D56" i="6"/>
  <c r="D55" i="6"/>
  <c r="D54" i="6"/>
  <c r="D53" i="6"/>
  <c r="D52" i="6"/>
  <c r="D51" i="6"/>
  <c r="D50" i="6"/>
  <c r="D49" i="6"/>
  <c r="D48" i="6"/>
  <c r="A46" i="6"/>
  <c r="A63" i="6" s="1"/>
  <c r="C44" i="6"/>
  <c r="A41" i="6"/>
  <c r="A40" i="6"/>
  <c r="A10" i="6"/>
  <c r="A11" i="6" s="1"/>
  <c r="A9" i="6"/>
  <c r="A8" i="6"/>
  <c r="C285" i="5"/>
  <c r="D261" i="5"/>
  <c r="D260" i="5"/>
  <c r="D259" i="5"/>
  <c r="D257" i="5"/>
  <c r="D256" i="5"/>
  <c r="D255" i="5"/>
  <c r="D254" i="5"/>
  <c r="D172" i="5"/>
  <c r="D171" i="5"/>
  <c r="C153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C47" i="5"/>
  <c r="A40" i="5"/>
  <c r="A49" i="5" s="1"/>
  <c r="C32" i="5"/>
  <c r="A9" i="5"/>
  <c r="A10" i="5" s="1"/>
  <c r="A11" i="5" s="1"/>
  <c r="A8" i="5"/>
  <c r="C64" i="4"/>
  <c r="D52" i="4"/>
  <c r="D50" i="4"/>
  <c r="D49" i="4"/>
  <c r="A46" i="4"/>
  <c r="A56" i="4" s="1"/>
  <c r="C44" i="4"/>
  <c r="D42" i="4"/>
  <c r="A40" i="4"/>
  <c r="A41" i="4" s="1"/>
  <c r="A8" i="4"/>
  <c r="A9" i="4" s="1"/>
  <c r="A10" i="4" s="1"/>
  <c r="A11" i="4" s="1"/>
  <c r="C145" i="3"/>
  <c r="D143" i="3"/>
  <c r="D142" i="3"/>
  <c r="D141" i="3"/>
  <c r="D140" i="3"/>
  <c r="D139" i="3"/>
  <c r="D138" i="3"/>
  <c r="D137" i="3"/>
  <c r="D136" i="3"/>
  <c r="D135" i="3"/>
  <c r="D134" i="3"/>
  <c r="C126" i="3"/>
  <c r="C80" i="3"/>
  <c r="D78" i="3"/>
  <c r="D77" i="3"/>
  <c r="D76" i="3"/>
  <c r="D75" i="3"/>
  <c r="D74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C44" i="3"/>
  <c r="A40" i="3"/>
  <c r="A46" i="3" s="1"/>
  <c r="C32" i="3"/>
  <c r="A9" i="3"/>
  <c r="A10" i="3" s="1"/>
  <c r="A11" i="3" s="1"/>
  <c r="A8" i="3"/>
  <c r="C177" i="2"/>
  <c r="D175" i="2"/>
  <c r="D172" i="2"/>
  <c r="C106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C45" i="2"/>
  <c r="A40" i="2"/>
  <c r="A47" i="2" s="1"/>
  <c r="C32" i="2"/>
  <c r="A9" i="2"/>
  <c r="A10" i="2" s="1"/>
  <c r="A11" i="2" s="1"/>
  <c r="A8" i="2"/>
  <c r="F80" i="1"/>
  <c r="C80" i="1"/>
  <c r="C74" i="1"/>
  <c r="D55" i="1"/>
  <c r="D54" i="1"/>
  <c r="D53" i="1"/>
  <c r="D52" i="1"/>
  <c r="D51" i="1"/>
  <c r="D50" i="1"/>
  <c r="D49" i="1"/>
  <c r="D48" i="1"/>
  <c r="A46" i="1"/>
  <c r="A59" i="1" s="1"/>
  <c r="C44" i="1"/>
  <c r="A40" i="1"/>
  <c r="A41" i="1" s="1"/>
  <c r="A9" i="1"/>
  <c r="A10" i="1" s="1"/>
  <c r="A11" i="1" s="1"/>
  <c r="A8" i="1"/>
  <c r="A155" i="5" l="1"/>
  <c r="A50" i="5"/>
  <c r="A47" i="11"/>
  <c r="A72" i="11"/>
  <c r="A48" i="2"/>
  <c r="A108" i="2"/>
  <c r="A47" i="3"/>
  <c r="A82" i="3"/>
  <c r="A45" i="17"/>
  <c r="A53" i="17"/>
  <c r="A64" i="21"/>
  <c r="A45" i="21"/>
  <c r="A47" i="4"/>
  <c r="A41" i="5"/>
  <c r="A45" i="15"/>
  <c r="A45" i="20"/>
  <c r="A39" i="21"/>
  <c r="A47" i="6"/>
  <c r="A51" i="13"/>
  <c r="A62" i="14"/>
  <c r="A39" i="17"/>
  <c r="A41" i="3"/>
  <c r="A56" i="18"/>
  <c r="A47" i="1"/>
  <c r="A41" i="2"/>
  <c r="A41" i="11"/>
</calcChain>
</file>

<file path=xl/sharedStrings.xml><?xml version="1.0" encoding="utf-8"?>
<sst xmlns="http://schemas.openxmlformats.org/spreadsheetml/2006/main" count="2967" uniqueCount="605">
  <si>
    <t>REHABILITATION ET EXTENSION DU LYCEE D'ETAT DE WALLIS ET FUTUNA
COMMUNE DE MATA'UTU - WALLIS-ET-FUTUNA - DCE</t>
  </si>
  <si>
    <t>LOT 10 : PLATRERIE - FAUX PLAFOND - ISOLATION - CLOISON</t>
  </si>
  <si>
    <t>BATIMENT D : INFIRMERIE</t>
  </si>
  <si>
    <t>TRANCHE FERME</t>
  </si>
  <si>
    <t>N°</t>
  </si>
  <si>
    <t>DESIGNATION DES OUVRAGES</t>
  </si>
  <si>
    <t>U</t>
  </si>
  <si>
    <t>QUANTITE</t>
  </si>
  <si>
    <t>P.U.</t>
  </si>
  <si>
    <t>TOTAUX</t>
  </si>
  <si>
    <t>TRAVAUX PRELIMINAIRES</t>
  </si>
  <si>
    <t xml:space="preserve">Assurance dommage Obligatoire - Police de chantier </t>
  </si>
  <si>
    <t>F</t>
  </si>
  <si>
    <t>Inclus dans les prix</t>
  </si>
  <si>
    <t>Assurance Responsabilité Civile Professionnelle avec volet décennale</t>
  </si>
  <si>
    <t>A la charge du MO</t>
  </si>
  <si>
    <t>Plan EXE et DOE</t>
  </si>
  <si>
    <t>Echaufadage et moyen de levage</t>
  </si>
  <si>
    <t>Nota : Voir Plans Architecturaux - MMW ARCHITECTURE</t>
  </si>
  <si>
    <t>Nota : Voir Plan Ter/Voirie/Rés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</si>
  <si>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</si>
  <si>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</si>
  <si>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</si>
  <si>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</si>
  <si>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</si>
  <si>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Plomb/Gaz/Air Comp - GEOME</t>
  </si>
  <si>
    <t>Nota : Voir Plans Clim/Vent - GEOME</t>
  </si>
  <si>
    <t>Nota : Voir Plans Chambre Froide - GEOME</t>
  </si>
  <si>
    <t>Nota : Voir Plans Clôt/Esp Vert/Amen - SIGMA INGENIERIE</t>
  </si>
  <si>
    <t>Nota : Voir Dossier Sécurité - ES2</t>
  </si>
  <si>
    <t>Nota : Voir Cahier des charges SSI - ES2</t>
  </si>
  <si>
    <t>Nota : Voir Note Environnementale - INGENC</t>
  </si>
  <si>
    <t>Nota : Voir Rapport d'étude de sols - ANTEA</t>
  </si>
  <si>
    <t xml:space="preserve"> </t>
  </si>
  <si>
    <t>Nota : Voir Rapport Initial de Contrôle Technique - VERITAS</t>
  </si>
  <si>
    <t>Nota : Voir Plan Général de Coordination - SOCOTEC</t>
  </si>
  <si>
    <t>Nota : Voir Charte Chantier Vert - INGENC</t>
  </si>
  <si>
    <t>Nota : Les quantités indiquées sont données à titre indicatif. L'entreprise est tenue de les vérifier et de les modifier le cas échéant afin de les adapter à leur propre quantité. En tout état de cause, les dociuments retournés par eux sont considérés comme les leurs et donc sous leur entière responsabilité.</t>
  </si>
  <si>
    <t>DEMOLITION - DEPOSE</t>
  </si>
  <si>
    <t>Démolition - Dépose</t>
  </si>
  <si>
    <t>Bâtiment D - Infirmerie</t>
  </si>
  <si>
    <t>M2</t>
  </si>
  <si>
    <t>PLATRERIE</t>
  </si>
  <si>
    <t>Enduit plâtre</t>
  </si>
  <si>
    <t>INF.1  Espace d'attente et d'accueil</t>
  </si>
  <si>
    <t>INF.2  Bureau infirmière</t>
  </si>
  <si>
    <t>INF.3  Bureau du medecin / assistant social 1 PT</t>
  </si>
  <si>
    <t>INF.4  Chambre de repos 1</t>
  </si>
  <si>
    <t>INF.4 Chambre de repos 2</t>
  </si>
  <si>
    <t>INF.5 Sanitaire / douche</t>
  </si>
  <si>
    <t xml:space="preserve">INF.6 Bureau du psychologue et MLDS </t>
  </si>
  <si>
    <t>TD1</t>
  </si>
  <si>
    <t>PLATERIE</t>
  </si>
  <si>
    <t>FAUX PLAFOND</t>
  </si>
  <si>
    <t>Faux plafonds horizontal placoplâtre coupe-feu 1H</t>
  </si>
  <si>
    <t>TD</t>
  </si>
  <si>
    <t>Faux plafonds horizontal placoplâtre hydrofuge et Trappe de visite</t>
  </si>
  <si>
    <t>INF.5 Sanitaire / douche (1 trappe de visite)</t>
  </si>
  <si>
    <t xml:space="preserve">Faux plafonds horizontal dalle de 60*60 </t>
  </si>
  <si>
    <t>CLOISON</t>
  </si>
  <si>
    <t>Pose de cornière d'angle en aluminium</t>
  </si>
  <si>
    <t>ML</t>
  </si>
  <si>
    <t>PM</t>
  </si>
  <si>
    <t>MONTANT TOTAL DES TRAVAUX</t>
  </si>
  <si>
    <t xml:space="preserve">L'entreprise (Date et signature) : </t>
  </si>
  <si>
    <t>REHABILITATION ET EXTENSION DU LYCEE D'ETAT DE WALLIS ET FUTUNA
COMMUNE DE MATA'UTU - WALLIS-ET-FUTUNA - DCE ADDITIF</t>
  </si>
  <si>
    <t>BATIMENT G : ENSEIGNEMENT GENERAL</t>
  </si>
  <si>
    <t xml:space="preserve">Inclus dans les prix </t>
  </si>
  <si>
    <t>EXE et DOE</t>
  </si>
  <si>
    <t>Bâtiment G - Enseignement Général RDC</t>
  </si>
  <si>
    <t>Bâtiment G - Enseignement Général R+1</t>
  </si>
  <si>
    <t>Salle banalisée 1 - 28 places</t>
  </si>
  <si>
    <t>T02</t>
  </si>
  <si>
    <t>Salle banalisée 2 - 28 places</t>
  </si>
  <si>
    <t>Salle banalisée 3 - 28 places</t>
  </si>
  <si>
    <t>Salle banalisée 4 - 28 places</t>
  </si>
  <si>
    <t>Salle banalisée 5 - 28 places</t>
  </si>
  <si>
    <t>Salle banalisée 6 - 28 places</t>
  </si>
  <si>
    <t>Salle banalisée 7 - 18 places</t>
  </si>
  <si>
    <t>Salle banalisée 8 - 18 places</t>
  </si>
  <si>
    <t>Salle banalisée 9 - 28 places</t>
  </si>
  <si>
    <t>Salle banalisée 10 - 28 places</t>
  </si>
  <si>
    <t>Salle banalisée 11 - 28 places</t>
  </si>
  <si>
    <t>Dépôt 1</t>
  </si>
  <si>
    <t>Dépôt 2</t>
  </si>
  <si>
    <t xml:space="preserve">Stockage maintenance </t>
  </si>
  <si>
    <t xml:space="preserve">Salle enseignement général </t>
  </si>
  <si>
    <t>Rangement auto-portée</t>
  </si>
  <si>
    <t xml:space="preserve">Atelier de maintenance </t>
  </si>
  <si>
    <t xml:space="preserve">Salle agents </t>
  </si>
  <si>
    <t xml:space="preserve">Vestiaires personnel de maintenance </t>
  </si>
  <si>
    <t>Local ménage 1</t>
  </si>
  <si>
    <t>Local ménage 2</t>
  </si>
  <si>
    <t>Rangement 1</t>
  </si>
  <si>
    <t>Rangement 2</t>
  </si>
  <si>
    <t>Rangement 3</t>
  </si>
  <si>
    <t xml:space="preserve">Local technique </t>
  </si>
  <si>
    <t>Sanitaires hommes</t>
  </si>
  <si>
    <t>Sanitaires femmes</t>
  </si>
  <si>
    <t>Dégagement 1</t>
  </si>
  <si>
    <t>Dégagement 2</t>
  </si>
  <si>
    <t>Accès escalier 1</t>
  </si>
  <si>
    <t>Accès escalier 2</t>
  </si>
  <si>
    <t>Salle tertiaire 1</t>
  </si>
  <si>
    <t>Salle tertiaire 2</t>
  </si>
  <si>
    <t>Salle banalisée 14 - 35 places</t>
  </si>
  <si>
    <t>Salle banalisée 15 - 28 places</t>
  </si>
  <si>
    <t>Salle banalisée 16 - 28 places</t>
  </si>
  <si>
    <t>Salle banalisée 17 - 28 places</t>
  </si>
  <si>
    <t>Salle banalisée 18 - 28 places</t>
  </si>
  <si>
    <t>Salle banalisée 19 - 28 places</t>
  </si>
  <si>
    <t>Salle banalisée 20 - 28 places</t>
  </si>
  <si>
    <t>Salle banalisée 21 - 35 places</t>
  </si>
  <si>
    <t>Dépôt 4</t>
  </si>
  <si>
    <t>WC PMR</t>
  </si>
  <si>
    <t>TP sciences 1 - 7 paillasses</t>
  </si>
  <si>
    <t>TP sciences 2 - 8 paillasses</t>
  </si>
  <si>
    <t>TP EXAO 1 - 9 paillasses</t>
  </si>
  <si>
    <t>TP EXAO 2 - 9 paillasses</t>
  </si>
  <si>
    <t>Salle informatique 1</t>
  </si>
  <si>
    <t>Salle informatique 2</t>
  </si>
  <si>
    <t>Laboratoire science physique / SVT</t>
  </si>
  <si>
    <t>Rangement 4</t>
  </si>
  <si>
    <t>Entrée circulation</t>
  </si>
  <si>
    <t>Dégagement 3</t>
  </si>
  <si>
    <t>Local ménage 3</t>
  </si>
  <si>
    <t>Bâtiment G - Enseignement général RDC</t>
  </si>
  <si>
    <t>Rangement autoportée</t>
  </si>
  <si>
    <t>Niche gaz</t>
  </si>
  <si>
    <t>Bâtiment G - Enseignement général R+1</t>
  </si>
  <si>
    <t>Niche CF</t>
  </si>
  <si>
    <t>Niche Cf</t>
  </si>
  <si>
    <t>Faux plafonds PVC et Trappe de visite</t>
  </si>
  <si>
    <t>Vestiaires personnel de maintenance (1 Trappe de visite)</t>
  </si>
  <si>
    <t>Sanitaires hommes (1 Trappe de visite)</t>
  </si>
  <si>
    <t>Sanitaires femmes (1 Trappe de visite)</t>
  </si>
  <si>
    <t>Dégagement 1 (4 Trappes de visites)</t>
  </si>
  <si>
    <t>Dégagement 2 (4 Trappes de visites)</t>
  </si>
  <si>
    <t>Dégagement 3 (1 Trappe de visite)</t>
  </si>
  <si>
    <t>WC PMR (1 Trappe de visite)</t>
  </si>
  <si>
    <t>Entrée circulation (8 Trappes de visites)</t>
  </si>
  <si>
    <t>Faux plafonds horizontal dalle de 60*60 acoustique</t>
  </si>
  <si>
    <t xml:space="preserve">Salle banalisée 1 - 28 places
</t>
  </si>
  <si>
    <t xml:space="preserve">Salle banalisée 2 - 28 places
</t>
  </si>
  <si>
    <t xml:space="preserve">Salle banalisée 11 - 28 places
</t>
  </si>
  <si>
    <t>Bordure périphérique de plafond</t>
  </si>
  <si>
    <t>Décroché avec soffite placoplâtre Ht 20cm</t>
  </si>
  <si>
    <t>Salle Enseignement général (60*60 avec soffite placo platre)</t>
  </si>
  <si>
    <t>Décroché avec soffite PVC Ht 30cm et Ht 40cm</t>
  </si>
  <si>
    <t>Dégagement 1 (PVC avec soffite PVC)</t>
  </si>
  <si>
    <t>BATIMENT H : ENSEIGNEMENT SERVICES - HORS EXTENSION</t>
  </si>
  <si>
    <t xml:space="preserve">Bâtiment H - Enseignement Services </t>
  </si>
  <si>
    <t xml:space="preserve">Vestiaire CSR cuisine Filles </t>
  </si>
  <si>
    <t xml:space="preserve">Vestiaire CSR cuisine garçons </t>
  </si>
  <si>
    <t>Salle ULIS (ENFANTS HANDICAPES)</t>
  </si>
  <si>
    <t>Restaurant d'application</t>
  </si>
  <si>
    <t>SAS 2</t>
  </si>
  <si>
    <t>Laverie</t>
  </si>
  <si>
    <t>Epicerie climatisée cave a vins</t>
  </si>
  <si>
    <t>Decartonnage</t>
  </si>
  <si>
    <t xml:space="preserve">Plonge batterie </t>
  </si>
  <si>
    <t>SAS 3</t>
  </si>
  <si>
    <t>Cuisine pédagogique</t>
  </si>
  <si>
    <t xml:space="preserve">Préparation froide </t>
  </si>
  <si>
    <t>Salle de lancement cuisine</t>
  </si>
  <si>
    <t>Entrée</t>
  </si>
  <si>
    <t xml:space="preserve">Atelier STI2D </t>
  </si>
  <si>
    <t>Salle de lancement MELEC</t>
  </si>
  <si>
    <t>Salle de lancement MFER</t>
  </si>
  <si>
    <t>Magasin pédagogique MELEC/MFER</t>
  </si>
  <si>
    <t>Salle informatique MELEC/MFER</t>
  </si>
  <si>
    <t>Atelier MELEC</t>
  </si>
  <si>
    <t xml:space="preserve">Sanitaires Vestiaires garçons </t>
  </si>
  <si>
    <t xml:space="preserve">Sanitaires Vestiaires filles </t>
  </si>
  <si>
    <t>Transformateur</t>
  </si>
  <si>
    <t>Degagement 3</t>
  </si>
  <si>
    <t>Local TGBT</t>
  </si>
  <si>
    <t xml:space="preserve">Lingerie/Buanderie </t>
  </si>
  <si>
    <t>Sanitaires clients</t>
  </si>
  <si>
    <t>Salle de lancement CSR</t>
  </si>
  <si>
    <t>Local air comprimé</t>
  </si>
  <si>
    <t xml:space="preserve">Lingerie / Buanderie </t>
  </si>
  <si>
    <t xml:space="preserve">SAS 2 </t>
  </si>
  <si>
    <t xml:space="preserve">SAS 3 </t>
  </si>
  <si>
    <t>Plonge batterie</t>
  </si>
  <si>
    <t>Epicerie climatisée cave à vins</t>
  </si>
  <si>
    <t>Préparation froide</t>
  </si>
  <si>
    <t>CUI.1 Chambre froide négative</t>
  </si>
  <si>
    <t>CUI.2 Chambre froide positive</t>
  </si>
  <si>
    <t>Faux plafonds horizontal placoplâtre coupe-feu 2H</t>
  </si>
  <si>
    <t xml:space="preserve">Transformateur </t>
  </si>
  <si>
    <t>Vestiaire CSR cuisine Filles (2 Trappes de visites)</t>
  </si>
  <si>
    <t>Vestiaire CSR cuisine Garçons (2 Trappes de visites)</t>
  </si>
  <si>
    <t>Sanitaire clients (1 Trappe de visite)</t>
  </si>
  <si>
    <t>Sanitaires Vestiaires garçons (2 Trappes de visites)</t>
  </si>
  <si>
    <t>Sanitaires Vestiaires filles (1 Trappe de visite)</t>
  </si>
  <si>
    <t>Dégagement 1 (2 Trappes de visites)</t>
  </si>
  <si>
    <t>Entrée (1 Trappe de visite)</t>
  </si>
  <si>
    <t>Dégagement 2 (2 Trappes de visites)</t>
  </si>
  <si>
    <t>Dégagement 3 (2 Trappes de visites)</t>
  </si>
  <si>
    <t>Cuisine pédagogique (2 Trappes de visites)</t>
  </si>
  <si>
    <t xml:space="preserve">  </t>
  </si>
  <si>
    <t xml:space="preserve">Faux plafonds horizontal dalle de 60*60  </t>
  </si>
  <si>
    <t xml:space="preserve">Salle de lancement cuisine </t>
  </si>
  <si>
    <t>Magasin péda. MELEC / MFER</t>
  </si>
  <si>
    <t>CLOISON / CONDUIT</t>
  </si>
  <si>
    <t>Conduit Placoplatre Vertical CF 1H pour habillages des conduits de Hottes du Plafond jusque sous la toiture</t>
  </si>
  <si>
    <t>Cuisine pédagogique (Hotte cuisson)</t>
  </si>
  <si>
    <t>Cuisine pédagogique (Hotte four)</t>
  </si>
  <si>
    <t>Pose de cornière d'angle métallique</t>
  </si>
  <si>
    <t>Vestiaire CSR 2</t>
  </si>
  <si>
    <t>Vestiaire cuisine 1</t>
  </si>
  <si>
    <t>Vestiaire cuisine 2</t>
  </si>
  <si>
    <t xml:space="preserve">Sanitaire clients </t>
  </si>
  <si>
    <t>Atelier Melec - magasin pédagogique</t>
  </si>
  <si>
    <t>Circulation casier</t>
  </si>
  <si>
    <t>Sanitaires éléves</t>
  </si>
  <si>
    <t>BATIMENT I : ENSEIGNEMENT INDUSTRIEL</t>
  </si>
  <si>
    <t>Bâtiment I - Enseignement industriel</t>
  </si>
  <si>
    <t>Bâtiment I - Enseignement industriel RDC</t>
  </si>
  <si>
    <t>Atelier MACONNERIE 2</t>
  </si>
  <si>
    <t xml:space="preserve">Atelier MACONNERIE 1 </t>
  </si>
  <si>
    <t>Bâtiment I - Enseignement industriel R+1</t>
  </si>
  <si>
    <t xml:space="preserve">Atelier OBM / Zone d'assemblage produits longs chevalet MIP MAP </t>
  </si>
  <si>
    <t>BATIMENT K : INTERNAT</t>
  </si>
  <si>
    <t>Bâtiment K - Internat RDC Filles</t>
  </si>
  <si>
    <t>Bâtiment K - Internat RDC Garçons</t>
  </si>
  <si>
    <t>Bâtiment K - Internat R+1 Filles</t>
  </si>
  <si>
    <t>Bâtiment K - Internat R+1 Garçons</t>
  </si>
  <si>
    <t>Chambre PMR Filles</t>
  </si>
  <si>
    <t>Chambre Bureau AE Filles</t>
  </si>
  <si>
    <t>Chambre 14 - 2 lits</t>
  </si>
  <si>
    <t>T01</t>
  </si>
  <si>
    <t>Chambre 15 - 2 lits</t>
  </si>
  <si>
    <t>Chambre 16 - 2 lits</t>
  </si>
  <si>
    <t>Chambre 17 - 2 lits</t>
  </si>
  <si>
    <t>Salle de travail 1</t>
  </si>
  <si>
    <t>Chambre 20 - 4 lits</t>
  </si>
  <si>
    <t>Chambre 21 - 4 lits</t>
  </si>
  <si>
    <t>Chambre 22 - 2 lits</t>
  </si>
  <si>
    <t>Chambre 23 - 2 lits</t>
  </si>
  <si>
    <t>Chambre 24 - 2 lits</t>
  </si>
  <si>
    <t>Sanitaires / douches Filles 1</t>
  </si>
  <si>
    <t>Sanitaires / douches Filles 2</t>
  </si>
  <si>
    <t>WC Filles</t>
  </si>
  <si>
    <t>Circulation Filles 1</t>
  </si>
  <si>
    <t>Circulation Filles 2</t>
  </si>
  <si>
    <t>Dégagement Filles RDC</t>
  </si>
  <si>
    <t>Foyer filles</t>
  </si>
  <si>
    <t>Cage escaliers Filles</t>
  </si>
  <si>
    <t>Sanitaire PMR Filles</t>
  </si>
  <si>
    <t>Sanitaires AE Fille</t>
  </si>
  <si>
    <t xml:space="preserve">Dégagement Garçons </t>
  </si>
  <si>
    <t>Local ménage</t>
  </si>
  <si>
    <t xml:space="preserve">Sanitaires  AE Garçons </t>
  </si>
  <si>
    <t xml:space="preserve">Dégagement  </t>
  </si>
  <si>
    <t>Foyer Garçons</t>
  </si>
  <si>
    <t>Chambre Bureau AE Garçons</t>
  </si>
  <si>
    <t>Chambre PMR Garçons</t>
  </si>
  <si>
    <t>Chambre 1 - 2 lits</t>
  </si>
  <si>
    <t>Chambre 2 - 2 lits</t>
  </si>
  <si>
    <t>Chambre 3 - 2 lits</t>
  </si>
  <si>
    <t>Chambre 4 - 4 lits</t>
  </si>
  <si>
    <t>Chambre 5 - 4 lits</t>
  </si>
  <si>
    <t>Salle de travail 2</t>
  </si>
  <si>
    <t>Chambre 8 - 2 lits</t>
  </si>
  <si>
    <t>Chambre 9 - 2 lits</t>
  </si>
  <si>
    <t>Chambre 10 - 2 lits</t>
  </si>
  <si>
    <t>Chambre 11 - 2 lits</t>
  </si>
  <si>
    <t>WC Garçons RDC</t>
  </si>
  <si>
    <t>Sanitaires / douches Garçons 1</t>
  </si>
  <si>
    <t>Sanitaires / douches Garçons 2</t>
  </si>
  <si>
    <t>Circulation Garçons 1 RDC</t>
  </si>
  <si>
    <t>Circulation Garçons 2 RDC</t>
  </si>
  <si>
    <t>Cage escaliers Garçons</t>
  </si>
  <si>
    <t>Sanitaire PMR Garçons</t>
  </si>
  <si>
    <t>Local vacant 1</t>
  </si>
  <si>
    <t>Local vacant 2</t>
  </si>
  <si>
    <t>Local vacant 3</t>
  </si>
  <si>
    <t>Local vacant 4</t>
  </si>
  <si>
    <t>Local stockage</t>
  </si>
  <si>
    <t>Dégagement Filles R+1</t>
  </si>
  <si>
    <t>Bureau AE Filles</t>
  </si>
  <si>
    <t>Sanitaires / Douches Filles 3</t>
  </si>
  <si>
    <t>Chambre AE Filles</t>
  </si>
  <si>
    <t>Chambre 42 - 2 lits</t>
  </si>
  <si>
    <t>Chambre 43 - 2 lits</t>
  </si>
  <si>
    <t>Chambre 44 - 2 lits</t>
  </si>
  <si>
    <t>Chambre 45 - 2 lits</t>
  </si>
  <si>
    <t>Chambre 46 - 2 lits</t>
  </si>
  <si>
    <t>Salle de travail 3</t>
  </si>
  <si>
    <t>Chambre 49 - 4 lits</t>
  </si>
  <si>
    <t>Chambre 50 - 4 lits</t>
  </si>
  <si>
    <t>Chambre 51 - 2 lits</t>
  </si>
  <si>
    <t>Chambre 52 - 2 lits</t>
  </si>
  <si>
    <t>Chambre 53 - 2 lits</t>
  </si>
  <si>
    <t>Chambre 54 - 2 lits</t>
  </si>
  <si>
    <t>Chambre 55 - 4 lits</t>
  </si>
  <si>
    <t>Sanitaires filles 1</t>
  </si>
  <si>
    <t>Sanitaires filles 2</t>
  </si>
  <si>
    <t>Cage escaliers Filles R+1</t>
  </si>
  <si>
    <t>Dégagement Garçons R+1</t>
  </si>
  <si>
    <t>Bureau AE Garçons</t>
  </si>
  <si>
    <t>Chambre AE Garçons</t>
  </si>
  <si>
    <t>Chambre 27 - 2 lits</t>
  </si>
  <si>
    <t>Chambre 28 - 2 lits</t>
  </si>
  <si>
    <t>Chambre 29 - 2 lits</t>
  </si>
  <si>
    <t>Chambre 30 - 2 lits</t>
  </si>
  <si>
    <t>Chambre 31 - 2 lits</t>
  </si>
  <si>
    <t>Salle de travail 4</t>
  </si>
  <si>
    <t>Chambre 34 - 4 lits</t>
  </si>
  <si>
    <t>Chambre 35 - 4 lits</t>
  </si>
  <si>
    <t>Chambre 36 - 2 lits</t>
  </si>
  <si>
    <t>Chambre 37 - 2 lits</t>
  </si>
  <si>
    <t>Chambre 38 - 2 lits</t>
  </si>
  <si>
    <t>Chambre 39 - 2 lits</t>
  </si>
  <si>
    <t>Chambre 40 - 4 lits</t>
  </si>
  <si>
    <t>Sanitaires Garçons 1</t>
  </si>
  <si>
    <t>Sanitaires Garçons 2</t>
  </si>
  <si>
    <t>Circulation Garçons 1</t>
  </si>
  <si>
    <t>Circulation Garçons 2</t>
  </si>
  <si>
    <t>Sanitaires / Douches Garçons 3</t>
  </si>
  <si>
    <t>Niche</t>
  </si>
  <si>
    <t>Cage escalier Garçons R+1</t>
  </si>
  <si>
    <t xml:space="preserve">Niche </t>
  </si>
  <si>
    <t>Foyer filles  (1 Trappe de visite)</t>
  </si>
  <si>
    <t>Chambre 14 - 2 lits(2 Trappes de visites)
Rangée côté fenêtre présence de l'humidité</t>
  </si>
  <si>
    <t>Chambre 15 - 2 lits (2 Trappes de visites)
Rangée côté fenêtre présence de l'humidité</t>
  </si>
  <si>
    <t>Chambre 16 - 2 lits (2 Trappes de visites)
Rangée côté fenêtre présence de l'humidité</t>
  </si>
  <si>
    <t>Chambre 17 - 2 lits (2 Trappes de visites)
Rangée côté fenêtre présence de l'humidité</t>
  </si>
  <si>
    <t>Chambre 20 - 4 lits (2 Trappes de visites)
Rangée côté fenêtre présence de l'humidité</t>
  </si>
  <si>
    <t>Chambre 21 - 4 lits (2 Trappes de visites)
Rangée côté fenêtre présence de l'humidité</t>
  </si>
  <si>
    <t>Chambre 22 - 2 lits (2 Trappes de visites)
Rangée côté fenêtre présence de l'humidité</t>
  </si>
  <si>
    <t>Chambre 23 - 2 lits (2 Trappes de visites)
Rangée côté fenêtre présence de l'humidité</t>
  </si>
  <si>
    <t>Chambre 24 - 2 lits (2 Trappes de visites)
Rangée côté fenêtre présence de l'humidité</t>
  </si>
  <si>
    <t>Foyer Garçons  (1 Trappe de visite)</t>
  </si>
  <si>
    <t>Chambre Bureau AE Garçons (1 Trappe de visite)</t>
  </si>
  <si>
    <t>Chambre PMR Garçons (1 Trappe de visite)</t>
  </si>
  <si>
    <t>Local vacant 1 (1 Trappe de visite)</t>
  </si>
  <si>
    <t>Local vacant 3 (1 Trappe de visite)</t>
  </si>
  <si>
    <t>Local vacant 4 (1 Trappe de visite)</t>
  </si>
  <si>
    <t>Salle de travail 3 Faux plafonds horizontal dalle de 60*60 acoustique</t>
  </si>
  <si>
    <t>Sanitaires AE Filles (1 Trappe de visite)</t>
  </si>
  <si>
    <t>Sanitaires / douches Filles 1 (2 Trappes de visites)</t>
  </si>
  <si>
    <t>Sanitaires / douches Filles 2 (2 Trappes de visites)</t>
  </si>
  <si>
    <t>WC Filles (1 Trappe de visite)</t>
  </si>
  <si>
    <t>Sanitaire PMR Filles (1 Trappe de visite)</t>
  </si>
  <si>
    <t>Circulation Filles 1 (2 Trappes de visites)</t>
  </si>
  <si>
    <t>Circulation Filles 2 (2 Trappes de visites)</t>
  </si>
  <si>
    <t>Dégagement Filles RDC (2 Trappes de visites)</t>
  </si>
  <si>
    <t>Sanitaires AE Garçons (1 Trappe de visite)</t>
  </si>
  <si>
    <t>Sanitaire PMR Garçons (1 Trappe de visite)</t>
  </si>
  <si>
    <t>Sanitaires / douches Garçons 1 (2 Trappes de visites)</t>
  </si>
  <si>
    <t>Sanitaires / douches Garçons 2 (2 Trappes de visites)</t>
  </si>
  <si>
    <t>WC Garçons RDC (1 Trappe de visite)</t>
  </si>
  <si>
    <t>Dégagement Garçons RDC (2 Trappes de visites)</t>
  </si>
  <si>
    <t>Dégagement Garçons  (4 Trappes de visites)</t>
  </si>
  <si>
    <t>Circulation Garçons 1 RDC (3 Trappes de visites)</t>
  </si>
  <si>
    <t>Circulation Garçons 2 RDC (3 Trappes de visites)</t>
  </si>
  <si>
    <t>Sanitaires / Douches Filles 3 (2 Trappes de visites)</t>
  </si>
  <si>
    <t>Sanitaires filles 1 (2 Trappes de visites)</t>
  </si>
  <si>
    <t>Sanitaires filles 2 (2 Trappes de visites)</t>
  </si>
  <si>
    <t>Dégagement Filles R+1 (2 Trappes de visites)</t>
  </si>
  <si>
    <t>Balcon 06</t>
  </si>
  <si>
    <t>Balcon 07</t>
  </si>
  <si>
    <t>Balcon 08</t>
  </si>
  <si>
    <t>Balcon 09</t>
  </si>
  <si>
    <t>Balcon 10</t>
  </si>
  <si>
    <t>Dégagement Garçons R+1 (2 Trappes de visites)</t>
  </si>
  <si>
    <t>Sanitaires Garçons 1 (2 Trappes de visites)</t>
  </si>
  <si>
    <t>Sanitaires Garçons 2 (2 Trappes de visites)</t>
  </si>
  <si>
    <t>Sanitaires / Douches Garçons 3 (2 Trappes de visites)</t>
  </si>
  <si>
    <t>Circulation Garçons 1 (2 Trappes de visites)</t>
  </si>
  <si>
    <t>Circulation Garçons 2 (2 Trappes de visites)</t>
  </si>
  <si>
    <t>Balcon 01</t>
  </si>
  <si>
    <t>Balcon 02</t>
  </si>
  <si>
    <t>Balcon 03</t>
  </si>
  <si>
    <t>Balcon 04</t>
  </si>
  <si>
    <t>Balcon 05</t>
  </si>
  <si>
    <t xml:space="preserve">Chambre AE Garçons (1 Trappe de visite)
Bordure périphérique </t>
  </si>
  <si>
    <t xml:space="preserve">Chambre 27 - 2 lits (1 Trappe de visite)
Bordure périphérique </t>
  </si>
  <si>
    <t xml:space="preserve">Chambre 28 - 2 lits (1 Trappe de visite)
Bordure périphérique </t>
  </si>
  <si>
    <t xml:space="preserve">Chambre 29 - 2 lits (1 Trappe de visite)
Bordure périphérique </t>
  </si>
  <si>
    <t xml:space="preserve">Chambre 30 - 2 lits (1 Trappe de visite)
Bordure périphérique </t>
  </si>
  <si>
    <t xml:space="preserve">Chambre 31 - 2 lits (1 Trappe de visite)
Bordure périphérique </t>
  </si>
  <si>
    <t xml:space="preserve">Chambre 34 - 4 lits (1 Trappe de visite)
Bordure périphérique </t>
  </si>
  <si>
    <t xml:space="preserve">Chambre 35 - 4 lits (1 Trappe de visite)
Bordure périphérique </t>
  </si>
  <si>
    <t xml:space="preserve">Chambre 36 - 2 lits (1 Trappe de visite)
Bordure périphérique </t>
  </si>
  <si>
    <t xml:space="preserve">Chambre 37 - 2 lits (1 Trappe de visite)
Bordure périphérique </t>
  </si>
  <si>
    <t xml:space="preserve">Chambre 38 - 2 lits (1 Trappe de visite)
Bordure périphérique </t>
  </si>
  <si>
    <t xml:space="preserve">Chambre 39 - 2 lits (1 Trappe de visite)
Bordure périphérique </t>
  </si>
  <si>
    <t xml:space="preserve">Chambre 40 - 4 lits (1 Trappe de visite)
Bordure périphérique </t>
  </si>
  <si>
    <t>Décroché avec soffite placoplâtre Ht 10cm</t>
  </si>
  <si>
    <t>Foyer Filles</t>
  </si>
  <si>
    <t>Décroché avec soffite PVC Ht 10cm et Ht 20cm</t>
  </si>
  <si>
    <t>Circulation Filles 1 RDC</t>
  </si>
  <si>
    <t>Circulation Filles 2 RDC</t>
  </si>
  <si>
    <t>Dégagement Filles RDC 
Récupération des dalles 60X60 en bonne état</t>
  </si>
  <si>
    <t>Dégagement Garçons RDC</t>
  </si>
  <si>
    <t xml:space="preserve">Bureau AE Filles (1 Trappe de visite)
Bordure périphérique </t>
  </si>
  <si>
    <t xml:space="preserve">Chambre AE Filles (1 Trappe de visite)
Bordure périphérique </t>
  </si>
  <si>
    <t xml:space="preserve">Chambre 42 - 2 lits (1 Trappe de visite)
Bordure périphérique </t>
  </si>
  <si>
    <t xml:space="preserve">Chambre 43 - 2 lits (1 Trappe de visite)
Bordure périphérique </t>
  </si>
  <si>
    <t xml:space="preserve">Chambre 44 - 2 lits (1 Trappe de visite)
Bordure périphérique </t>
  </si>
  <si>
    <t xml:space="preserve">Chambre 45 - 2 lits (1 Trappe de visite)
Bordure périphérique </t>
  </si>
  <si>
    <t xml:space="preserve">Chambre 46 - 2 lits (1 Trappe de visite)
Bordure périphérique </t>
  </si>
  <si>
    <t>Chambre 49 - 4 lits (1 Trappe de visite)
Tôle nervurée à refixer</t>
  </si>
  <si>
    <t>Chambre 50 - 4 lits (1 Trappe de visite)
Voir pour les baguettes d'angles si elles peuvent être supprimés ou remplacés par joints de finition</t>
  </si>
  <si>
    <t xml:space="preserve">Chambre 51 - 2 lits (1 Trappe de visite)
Bordure périphérique </t>
  </si>
  <si>
    <t xml:space="preserve">Chambre 52 - 2 lits (1 Trappe de visite)
Bordure périphérique </t>
  </si>
  <si>
    <t xml:space="preserve">Chambre 53 - 2 lits(1 Trappe de visite)
Bordure périphérique </t>
  </si>
  <si>
    <t xml:space="preserve">Chambre 54 - 2 lits (1 Trappe de visite)
Bordure périphérique </t>
  </si>
  <si>
    <t xml:space="preserve">Chambre 55 - 4 lits (1 Trappe de visite)
Bordure périphérique </t>
  </si>
  <si>
    <t>Dalle béton apparente du plancher haut</t>
  </si>
  <si>
    <t xml:space="preserve">Local vacant 4 
laisser le béton apparent pour le passage des réseaux traversants ; prévoir des colliers coupe-feu (CF). </t>
  </si>
  <si>
    <t>ENS</t>
  </si>
  <si>
    <t>Local stockage
laisser le béton apparent pour le passage des réseaux traversants ; reboucher les traversées.</t>
  </si>
  <si>
    <t>BATIMENT N : LOGEMENT DE FONCTION 1</t>
  </si>
  <si>
    <t>Bâtiment N - Logement de fonction 1</t>
  </si>
  <si>
    <t>SAS</t>
  </si>
  <si>
    <t>Salon / Séjour</t>
  </si>
  <si>
    <t>Cuisine</t>
  </si>
  <si>
    <t xml:space="preserve">Dégagement </t>
  </si>
  <si>
    <t>WC</t>
  </si>
  <si>
    <t>Chambre 1</t>
  </si>
  <si>
    <t xml:space="preserve">Placard 1 </t>
  </si>
  <si>
    <t>Chambre 2</t>
  </si>
  <si>
    <t>Placard 2</t>
  </si>
  <si>
    <t>Chambre 3</t>
  </si>
  <si>
    <t>Placard 3</t>
  </si>
  <si>
    <t>Placard 4</t>
  </si>
  <si>
    <t>Faux plafonds horizontal placoplâtre hydrofuge</t>
  </si>
  <si>
    <t>WC  (1 trappe de visite)</t>
  </si>
  <si>
    <t>Salle d'eau chambre 1  (1 trappe de visite)</t>
  </si>
  <si>
    <t>Salle d'eau chambre 2  (1 trappe de visite)</t>
  </si>
  <si>
    <t>Salle d'eau   (1 trappe de visite)</t>
  </si>
  <si>
    <t>Faux plafonds placoplâtre et Trappe de visite</t>
  </si>
  <si>
    <t>SAS (1 Trappe de visite)</t>
  </si>
  <si>
    <t>Cuisine (2 Trappes de visites)</t>
  </si>
  <si>
    <t>Dégagement (3 Trappes de visites)</t>
  </si>
  <si>
    <t>Chambre 1 (1 Trappe de visite)</t>
  </si>
  <si>
    <t>Placard 1</t>
  </si>
  <si>
    <t>Chambre 2 (1 Trappe de visite)</t>
  </si>
  <si>
    <t>Chambre 3 (1 Trappe de visite)</t>
  </si>
  <si>
    <t>REHABILITATION ET EXTENSION DU LYCEE D'ETAT DE WALLIS ET FUTUNA - COMMUNE DE MATA'UTU - WALLIS-ET-FUTUNA - DCE</t>
  </si>
  <si>
    <t>LOT 10 : PLÂTRERIE - FAUX PLAFOND - ISOLATION - CLOISON</t>
  </si>
  <si>
    <t>BATIMENT U : VIE SCOLAIRE / MAISON DES LYCEENS / SALLES INFORMATIQUES / BLOCS SANITAIRES</t>
  </si>
  <si>
    <t>Sanitaires personnels femmes (1 Trappe de visite)</t>
  </si>
  <si>
    <t>Sanitaires personnels hommes (1 Trappe de visite)</t>
  </si>
  <si>
    <t>Sanitaire personnel (1 Trappe de visite)</t>
  </si>
  <si>
    <t>Dégagement (1 Trappe de visite)</t>
  </si>
  <si>
    <t>Bureau du conseil des élèves</t>
  </si>
  <si>
    <t>Bureau accueil parent</t>
  </si>
  <si>
    <t>Bureau CPE</t>
  </si>
  <si>
    <t>Foyer des élèves</t>
  </si>
  <si>
    <t>Salle informatique 3</t>
  </si>
  <si>
    <t>TRANCHE OPTIONNELLE 01</t>
  </si>
  <si>
    <t>TRANCHE OPTIONNELLE 02</t>
  </si>
  <si>
    <t>TRANCHE OPTIONNELLE 03</t>
  </si>
  <si>
    <t>Sanitaires élèves filles (1 Trappe de visite)</t>
  </si>
  <si>
    <t>Sanitaires élèves garçons (1 Trappe de visite)</t>
  </si>
  <si>
    <t>Hall d'accueil</t>
  </si>
  <si>
    <t>Bureau surveillant</t>
  </si>
  <si>
    <t>Salle permanence examen</t>
  </si>
  <si>
    <t>BATIMENT J : RESTAURATION</t>
  </si>
  <si>
    <t>TRANCHE OPTIONNELLE 04</t>
  </si>
  <si>
    <t>Bâtiment J - Restauration</t>
  </si>
  <si>
    <t>Sanitaires élèves garçons</t>
  </si>
  <si>
    <t>Sanitaires élèves filles</t>
  </si>
  <si>
    <t>Espace lave-mains</t>
  </si>
  <si>
    <t>Salle à manger élèves - 150 places</t>
  </si>
  <si>
    <t>Bureau chef cuisinier</t>
  </si>
  <si>
    <t>Réserves sèches</t>
  </si>
  <si>
    <t>Buanderie</t>
  </si>
  <si>
    <t>Légumerie</t>
  </si>
  <si>
    <t>Préparation chaude</t>
  </si>
  <si>
    <t>Préapration froide</t>
  </si>
  <si>
    <t>Plonge</t>
  </si>
  <si>
    <t>Stockage déchets</t>
  </si>
  <si>
    <t>Vestiaires Hommes</t>
  </si>
  <si>
    <t>Vestiaires Femmes</t>
  </si>
  <si>
    <t>Espace casiers</t>
  </si>
  <si>
    <t>Local Gaz</t>
  </si>
  <si>
    <t>Local</t>
  </si>
  <si>
    <t xml:space="preserve">Local ménage </t>
  </si>
  <si>
    <t>Bureau chef de cuisine</t>
  </si>
  <si>
    <t>Faux plafonds dalle de 60*60 rampant</t>
  </si>
  <si>
    <t>Entrée circulation (4 Trappes de visites)</t>
  </si>
  <si>
    <t>Légumerie (2 Trappes de visites)</t>
  </si>
  <si>
    <t>Préparation chaude (4 Trappes de visites)</t>
  </si>
  <si>
    <t>Préparation froide (2 Trappes de visites)</t>
  </si>
  <si>
    <t>Stockage déchets (1 Trappe de visite)</t>
  </si>
  <si>
    <t xml:space="preserve">Décroché avec soffite PVC Ht 60cm </t>
  </si>
  <si>
    <t>Chambre froide négative</t>
  </si>
  <si>
    <t>Chambre froide positive viandes</t>
  </si>
  <si>
    <t xml:space="preserve">Chambre froide BOF </t>
  </si>
  <si>
    <t>Chambre froide produits finis</t>
  </si>
  <si>
    <t xml:space="preserve">Chambre froide positive </t>
  </si>
  <si>
    <t>BATIMENT H : ENSEIGNEMENT SERVICES - AVEC EXTENSION</t>
  </si>
  <si>
    <t>TRANCHE OPTIONNELLE 05</t>
  </si>
  <si>
    <t xml:space="preserve">Vie scolaire </t>
  </si>
  <si>
    <t xml:space="preserve">Salle d'études 64 places </t>
  </si>
  <si>
    <t>Bureau surveillant général</t>
  </si>
  <si>
    <t xml:space="preserve">Bureau surveillant </t>
  </si>
  <si>
    <t>Vie scolaire</t>
  </si>
  <si>
    <t>Salle d'études 64 places</t>
  </si>
  <si>
    <t>BATIMENT A : LOGE ENTREE</t>
  </si>
  <si>
    <t>TRANCHE OPTIONNELLE 06</t>
  </si>
  <si>
    <t>Nota : Voir Plan Ter/Voiries/Rés Hum - SIGMA INGENIERIE</t>
  </si>
  <si>
    <t>Nota : Voir Plans Plomberie - GEOME</t>
  </si>
  <si>
    <t>Nota : Voir Plans Clôt / Esp Vert - SIGMA INGENIERIE</t>
  </si>
  <si>
    <t>Bâtiment A - Loge d'entrée</t>
  </si>
  <si>
    <t>Loge d'entrée</t>
  </si>
  <si>
    <t>Loge d'entrée (1 Trappe de visite)</t>
  </si>
  <si>
    <t>BATIMENT B : ADMINISTRATION</t>
  </si>
  <si>
    <t>Bâtiment B - Administration</t>
  </si>
  <si>
    <t>Accueil + Attente</t>
  </si>
  <si>
    <t>Bureau du principal</t>
  </si>
  <si>
    <t>Bureau principal adjoint</t>
  </si>
  <si>
    <t>Secretariat de direction 2 PT</t>
  </si>
  <si>
    <t>Secrétariat des élèves</t>
  </si>
  <si>
    <t>Salle de réunion - 30 pers</t>
  </si>
  <si>
    <t>Archives</t>
  </si>
  <si>
    <t xml:space="preserve">WC Femmes </t>
  </si>
  <si>
    <t xml:space="preserve">WC Garçons </t>
  </si>
  <si>
    <t>Dégagement + Photocopieur</t>
  </si>
  <si>
    <t xml:space="preserve">Dégagement   </t>
  </si>
  <si>
    <t>Coffre examen</t>
  </si>
  <si>
    <t>WC Femmes (1 trappe de visite)</t>
  </si>
  <si>
    <t>WC Garçon (1 trappe de visite)</t>
  </si>
  <si>
    <t>Dégagement</t>
  </si>
  <si>
    <t>BATIMENT C : INTENDANCE</t>
  </si>
  <si>
    <t>Bâtiment C - Intendance</t>
  </si>
  <si>
    <t xml:space="preserve">Hall </t>
  </si>
  <si>
    <t>Bureau gestionnaire 1PT</t>
  </si>
  <si>
    <t>Secretariat 3PT + REPRO</t>
  </si>
  <si>
    <t>Tisanerie</t>
  </si>
  <si>
    <t>Stockage produits entretien</t>
  </si>
  <si>
    <t>Salle agents entretiens + machine à laver</t>
  </si>
  <si>
    <t>Salle agent / cuisine</t>
  </si>
  <si>
    <t>Répartiteur / Repro / Stockage</t>
  </si>
  <si>
    <t>Cellier</t>
  </si>
  <si>
    <t>WC 1</t>
  </si>
  <si>
    <t>WC 2</t>
  </si>
  <si>
    <t>Salle d'eau</t>
  </si>
  <si>
    <t>PL 1</t>
  </si>
  <si>
    <t>PL 2</t>
  </si>
  <si>
    <t>Salle agents entretiens + machine à laver (1 trappe de visite)</t>
  </si>
  <si>
    <t>Salle agent / cuisine (1 trappe de visite)</t>
  </si>
  <si>
    <t>WC 1 (1 trappe de visite)</t>
  </si>
  <si>
    <t>WC 2 (1 trappe de visite)</t>
  </si>
  <si>
    <t>Salle d'eau (1 trappe de visite)</t>
  </si>
  <si>
    <t>Hall</t>
  </si>
  <si>
    <t>Secretariat 3pt + repro</t>
  </si>
  <si>
    <t>Faux plafonds placoplâtre</t>
  </si>
  <si>
    <t>Celier</t>
  </si>
  <si>
    <t>BATIMENT E : SALLE DES PROFESSEURS</t>
  </si>
  <si>
    <t>Bâtiment E - Salle des professeurs</t>
  </si>
  <si>
    <t>Salle des professeurs</t>
  </si>
  <si>
    <t>BATIMENT F : CDI</t>
  </si>
  <si>
    <t>Bâtiment F - CDI</t>
  </si>
  <si>
    <t>Espace de consultation</t>
  </si>
  <si>
    <t>Salle de travail</t>
  </si>
  <si>
    <t>Palier</t>
  </si>
  <si>
    <t>Palier intermédiaire</t>
  </si>
  <si>
    <t>Palier (1 Trappe de visite)</t>
  </si>
  <si>
    <t>Palier intermédiaire (1 Trappe de visite)</t>
  </si>
  <si>
    <t>BATIMENT L : VESTIAIRES EPS</t>
  </si>
  <si>
    <t>Bâtiment L - Vestiaires EPS</t>
  </si>
  <si>
    <t>Vestiaires filles</t>
  </si>
  <si>
    <t>Vestiaires Garçons</t>
  </si>
  <si>
    <t>Bureau Enseignants</t>
  </si>
  <si>
    <t>Sanitaires Enseignants</t>
  </si>
  <si>
    <t>Dépôt matériel</t>
  </si>
  <si>
    <t>TD2</t>
  </si>
  <si>
    <t>Vestiaires filles (2 Trappes de visites)</t>
  </si>
  <si>
    <t>Vestiaires Garçons (2 Trappes de visites)</t>
  </si>
  <si>
    <t>Sanitaires Enseignants (2 Trappes de visites)</t>
  </si>
  <si>
    <t>BATIMENT M : SANITAIRES</t>
  </si>
  <si>
    <t>Bâtiment M - Sanitaires</t>
  </si>
  <si>
    <t>Sanitaires Filles (2 Trappes de visites)</t>
  </si>
  <si>
    <t>Sanitaires Garçons (2 Trappes de visites)</t>
  </si>
  <si>
    <t>BATIMENT O : LOGEMENT DE FONCTION 2</t>
  </si>
  <si>
    <t>Bâtiment O - Logement de fonction 2</t>
  </si>
  <si>
    <t>Salle d'eau chambre 1</t>
  </si>
  <si>
    <t>Salle d'eau chambre 2</t>
  </si>
  <si>
    <t xml:space="preserve">Salle d'eau </t>
  </si>
  <si>
    <t>Faux plafonds horizontal dalle de 60*60</t>
  </si>
  <si>
    <t>BATIMENT P : LOGEMENT DE FONCTION 3</t>
  </si>
  <si>
    <t>Bâtiment P - Logement de fonction 3</t>
  </si>
  <si>
    <t>Faux plafonds  placoplâtre et Trappe de visite</t>
  </si>
  <si>
    <t>BATIMENT T : HALL EPS</t>
  </si>
  <si>
    <t>Réserve (musculation)</t>
  </si>
  <si>
    <t>BATIMENT V : ATELIER MAINTENANCE</t>
  </si>
  <si>
    <t>Local espace vert</t>
  </si>
  <si>
    <t>Local produits dangereux</t>
  </si>
  <si>
    <t>Sanitaires agents (1 Trappe de visite)</t>
  </si>
  <si>
    <t>Sanitaires agent femmes (1 Trappe de visite)</t>
  </si>
  <si>
    <t>Sanitaires agent hommes (1 Trappe de visite)</t>
  </si>
  <si>
    <t>Faux plafonds PVC rampant</t>
  </si>
  <si>
    <t>Terrasse</t>
  </si>
  <si>
    <t>Abri véhicule</t>
  </si>
  <si>
    <t xml:space="preserve">Stockage/Réserve </t>
  </si>
  <si>
    <t>Salle agent</t>
  </si>
  <si>
    <t xml:space="preserve">Bureau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</si>
</sst>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\ &quot;FCFP&quot;"/>
    <numFmt numFmtId="166" formatCode="_-* #,##0_-;\-* #,##0_-;_-* &quot;-&quot;??_-;_-@_-"/>
    <numFmt numFmtId="167" formatCode="#,##0.00\ &quot;m²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Helvetica Neue"/>
    </font>
    <font>
      <b/>
      <u/>
      <sz val="9"/>
      <name val="Arial"/>
      <family val="2"/>
    </font>
    <font>
      <sz val="9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0070C0"/>
      <name val="Arial"/>
      <family val="2"/>
    </font>
    <font>
      <sz val="9"/>
      <color rgb="FF0070C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9"/>
      <color rgb="FF7030A0"/>
      <name val="Arial"/>
      <family val="2"/>
    </font>
    <font>
      <b/>
      <sz val="9"/>
      <name val="9"/>
    </font>
    <font>
      <sz val="9"/>
      <name val="9"/>
    </font>
    <font>
      <sz val="11"/>
      <name val="Arial"/>
      <family val="2"/>
    </font>
    <font>
      <sz val="10.5"/>
      <name val="Arial"/>
      <family val="2"/>
    </font>
    <font>
      <b/>
      <u/>
      <sz val="8"/>
      <name val="Arial"/>
      <family val="2"/>
    </font>
    <font>
      <sz val="14"/>
      <color theme="1"/>
      <name val="Calibri"/>
      <family val="2"/>
      <scheme val="minor"/>
    </font>
    <font>
      <b/>
      <sz val="9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FF"/>
        <bgColor indexed="64"/>
      </patternFill>
    </fill>
  </fills>
  <borders count="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indexed="64"/>
      </top>
      <bottom style="double">
        <color auto="1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 applyNumberFormat="0" applyFill="0" applyBorder="0" applyProtection="0">
      <alignment vertical="top"/>
    </xf>
    <xf numFmtId="0" fontId="8" fillId="0" borderId="0" applyNumberFormat="0" applyFill="0" applyBorder="0" applyProtection="0">
      <alignment vertical="top"/>
    </xf>
  </cellStyleXfs>
  <cellXfs count="559">
    <xf numFmtId="0" fontId="0" fillId="0" borderId="0" xfId="0"/>
    <xf numFmtId="0" fontId="3" fillId="0" borderId="0" xfId="0" applyFont="1"/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indent="1"/>
    </xf>
    <xf numFmtId="0" fontId="5" fillId="0" borderId="8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6" fontId="5" fillId="0" borderId="8" xfId="1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right" vertical="center"/>
    </xf>
    <xf numFmtId="0" fontId="5" fillId="0" borderId="0" xfId="0" applyFont="1"/>
    <xf numFmtId="164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0" fontId="7" fillId="0" borderId="11" xfId="0" applyFont="1" applyBorder="1"/>
    <xf numFmtId="2" fontId="7" fillId="0" borderId="11" xfId="0" applyNumberFormat="1" applyFont="1" applyBorder="1" applyAlignment="1">
      <alignment horizontal="center" vertical="center"/>
    </xf>
    <xf numFmtId="166" fontId="7" fillId="0" borderId="12" xfId="1" applyNumberFormat="1" applyFont="1" applyFill="1" applyBorder="1"/>
    <xf numFmtId="165" fontId="7" fillId="0" borderId="13" xfId="0" applyNumberFormat="1" applyFont="1" applyBorder="1" applyAlignment="1">
      <alignment horizontal="right"/>
    </xf>
    <xf numFmtId="0" fontId="7" fillId="0" borderId="0" xfId="0" applyFont="1"/>
    <xf numFmtId="164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wrapText="1" indent="1"/>
    </xf>
    <xf numFmtId="2" fontId="5" fillId="0" borderId="11" xfId="0" applyNumberFormat="1" applyFont="1" applyBorder="1" applyAlignment="1">
      <alignment horizontal="center" vertical="top"/>
    </xf>
    <xf numFmtId="166" fontId="5" fillId="0" borderId="11" xfId="1" applyNumberFormat="1" applyFont="1" applyFill="1" applyBorder="1" applyAlignment="1">
      <alignment horizontal="center" vertical="center"/>
    </xf>
    <xf numFmtId="165" fontId="5" fillId="0" borderId="14" xfId="0" applyNumberFormat="1" applyFont="1" applyBorder="1" applyAlignment="1">
      <alignment horizontal="right" vertical="center"/>
    </xf>
    <xf numFmtId="49" fontId="5" fillId="0" borderId="11" xfId="0" applyNumberFormat="1" applyFont="1" applyBorder="1" applyAlignment="1">
      <alignment horizontal="left" vertical="center" wrapText="1" indent="1"/>
    </xf>
    <xf numFmtId="2" fontId="5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5" fillId="0" borderId="10" xfId="3" applyNumberFormat="1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left" vertical="center" indent="1"/>
    </xf>
    <xf numFmtId="0" fontId="5" fillId="0" borderId="11" xfId="3" applyFont="1" applyFill="1" applyBorder="1" applyAlignment="1">
      <alignment horizontal="center" vertical="center"/>
    </xf>
    <xf numFmtId="2" fontId="5" fillId="0" borderId="11" xfId="3" applyNumberFormat="1" applyFont="1" applyFill="1" applyBorder="1" applyAlignment="1">
      <alignment horizontal="center" vertical="center"/>
    </xf>
    <xf numFmtId="165" fontId="5" fillId="0" borderId="14" xfId="2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vertical="center"/>
    </xf>
    <xf numFmtId="166" fontId="5" fillId="0" borderId="12" xfId="1" applyNumberFormat="1" applyFont="1" applyFill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9" fillId="0" borderId="15" xfId="0" applyFont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indent="1"/>
    </xf>
    <xf numFmtId="165" fontId="4" fillId="0" borderId="17" xfId="0" applyNumberFormat="1" applyFont="1" applyBorder="1" applyAlignment="1">
      <alignment horizontal="right" vertical="center"/>
    </xf>
    <xf numFmtId="0" fontId="10" fillId="0" borderId="0" xfId="0" applyFont="1"/>
    <xf numFmtId="2" fontId="5" fillId="0" borderId="18" xfId="0" applyNumberFormat="1" applyFont="1" applyBorder="1" applyAlignment="1">
      <alignment horizontal="center" vertical="center"/>
    </xf>
    <xf numFmtId="166" fontId="5" fillId="0" borderId="18" xfId="1" applyNumberFormat="1" applyFont="1" applyFill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166" fontId="5" fillId="0" borderId="11" xfId="1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vertical="center" wrapText="1"/>
    </xf>
    <xf numFmtId="166" fontId="7" fillId="0" borderId="15" xfId="1" applyNumberFormat="1" applyFont="1" applyFill="1" applyBorder="1"/>
    <xf numFmtId="165" fontId="7" fillId="0" borderId="14" xfId="0" applyNumberFormat="1" applyFont="1" applyBorder="1" applyAlignment="1">
      <alignment horizontal="right"/>
    </xf>
    <xf numFmtId="0" fontId="4" fillId="0" borderId="11" xfId="0" applyFont="1" applyBorder="1" applyAlignment="1">
      <alignment vertical="center" wrapText="1"/>
    </xf>
    <xf numFmtId="166" fontId="5" fillId="0" borderId="15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indent="1"/>
    </xf>
    <xf numFmtId="0" fontId="11" fillId="0" borderId="0" xfId="0" applyFont="1"/>
    <xf numFmtId="2" fontId="3" fillId="0" borderId="0" xfId="0" applyNumberFormat="1" applyFont="1"/>
    <xf numFmtId="0" fontId="5" fillId="0" borderId="11" xfId="0" applyFont="1" applyBorder="1" applyAlignment="1">
      <alignment horizontal="left" vertical="center" indent="3"/>
    </xf>
    <xf numFmtId="0" fontId="4" fillId="0" borderId="11" xfId="0" applyFont="1" applyBorder="1" applyAlignment="1">
      <alignment horizontal="left" indent="1"/>
    </xf>
    <xf numFmtId="0" fontId="5" fillId="0" borderId="11" xfId="0" applyFont="1" applyBorder="1" applyAlignment="1">
      <alignment horizontal="left" indent="1"/>
    </xf>
    <xf numFmtId="0" fontId="5" fillId="0" borderId="11" xfId="0" applyFont="1" applyBorder="1"/>
    <xf numFmtId="166" fontId="5" fillId="0" borderId="15" xfId="1" applyNumberFormat="1" applyFont="1" applyFill="1" applyBorder="1"/>
    <xf numFmtId="165" fontId="5" fillId="0" borderId="14" xfId="0" applyNumberFormat="1" applyFont="1" applyBorder="1" applyAlignment="1">
      <alignment horizontal="right"/>
    </xf>
    <xf numFmtId="49" fontId="5" fillId="0" borderId="10" xfId="0" applyNumberFormat="1" applyFont="1" applyBorder="1" applyAlignment="1">
      <alignment horizontal="center" vertical="center"/>
    </xf>
    <xf numFmtId="167" fontId="5" fillId="0" borderId="15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indent="1"/>
    </xf>
    <xf numFmtId="167" fontId="5" fillId="0" borderId="25" xfId="0" applyNumberFormat="1" applyFont="1" applyBorder="1" applyAlignment="1">
      <alignment horizontal="center" vertical="center"/>
    </xf>
    <xf numFmtId="2" fontId="5" fillId="0" borderId="24" xfId="0" applyNumberFormat="1" applyFont="1" applyBorder="1" applyAlignment="1">
      <alignment horizontal="center" vertical="center"/>
    </xf>
    <xf numFmtId="166" fontId="5" fillId="0" borderId="24" xfId="1" applyNumberFormat="1" applyFont="1" applyFill="1" applyBorder="1" applyAlignment="1">
      <alignment horizontal="center" vertical="center"/>
    </xf>
    <xf numFmtId="165" fontId="5" fillId="0" borderId="26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1"/>
    </xf>
    <xf numFmtId="167" fontId="5" fillId="0" borderId="27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6" fontId="5" fillId="0" borderId="24" xfId="1" applyNumberFormat="1" applyFont="1" applyFill="1" applyBorder="1" applyAlignment="1">
      <alignment horizontal="right" vertical="center"/>
    </xf>
    <xf numFmtId="165" fontId="4" fillId="0" borderId="22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center"/>
    </xf>
    <xf numFmtId="166" fontId="5" fillId="0" borderId="15" xfId="1" applyNumberFormat="1" applyFont="1" applyFill="1" applyBorder="1" applyAlignment="1">
      <alignment horizontal="center"/>
    </xf>
    <xf numFmtId="166" fontId="7" fillId="0" borderId="15" xfId="1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0" fontId="12" fillId="0" borderId="0" xfId="0" applyFont="1"/>
    <xf numFmtId="166" fontId="5" fillId="0" borderId="15" xfId="1" applyNumberFormat="1" applyFont="1" applyFill="1" applyBorder="1" applyAlignment="1">
      <alignment horizontal="right"/>
    </xf>
    <xf numFmtId="0" fontId="7" fillId="0" borderId="11" xfId="0" applyFont="1" applyBorder="1" applyAlignment="1">
      <alignment vertical="center"/>
    </xf>
    <xf numFmtId="166" fontId="7" fillId="0" borderId="11" xfId="1" applyNumberFormat="1" applyFont="1" applyFill="1" applyBorder="1" applyAlignment="1">
      <alignment vertical="center"/>
    </xf>
    <xf numFmtId="165" fontId="7" fillId="0" borderId="14" xfId="0" applyNumberFormat="1" applyFont="1" applyBorder="1" applyAlignment="1">
      <alignment vertical="center"/>
    </xf>
    <xf numFmtId="166" fontId="5" fillId="0" borderId="15" xfId="1" applyNumberFormat="1" applyFont="1" applyFill="1" applyBorder="1" applyAlignment="1">
      <alignment vertical="center"/>
    </xf>
    <xf numFmtId="165" fontId="5" fillId="0" borderId="14" xfId="0" applyNumberFormat="1" applyFont="1" applyBorder="1" applyAlignment="1">
      <alignment vertical="center"/>
    </xf>
    <xf numFmtId="0" fontId="13" fillId="0" borderId="0" xfId="0" applyFont="1"/>
    <xf numFmtId="165" fontId="4" fillId="0" borderId="17" xfId="0" applyNumberFormat="1" applyFont="1" applyBorder="1" applyAlignment="1">
      <alignment horizontal="center" vertical="center"/>
    </xf>
    <xf numFmtId="166" fontId="5" fillId="0" borderId="25" xfId="1" applyNumberFormat="1" applyFont="1" applyFill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14" fillId="0" borderId="17" xfId="1" applyNumberFormat="1" applyFont="1" applyFill="1" applyBorder="1" applyAlignment="1">
      <alignment horizontal="right" vertical="center"/>
    </xf>
    <xf numFmtId="164" fontId="5" fillId="0" borderId="0" xfId="0" applyNumberFormat="1" applyFont="1"/>
    <xf numFmtId="0" fontId="5" fillId="0" borderId="0" xfId="0" applyFont="1" applyAlignment="1">
      <alignment horizontal="left" indent="1"/>
    </xf>
    <xf numFmtId="166" fontId="5" fillId="0" borderId="0" xfId="1" applyNumberFormat="1" applyFont="1" applyFill="1"/>
    <xf numFmtId="165" fontId="5" fillId="0" borderId="0" xfId="0" applyNumberFormat="1" applyFont="1" applyAlignment="1">
      <alignment horizontal="right"/>
    </xf>
    <xf numFmtId="164" fontId="9" fillId="0" borderId="0" xfId="0" applyNumberFormat="1" applyFont="1" applyAlignment="1">
      <alignment vertical="center"/>
    </xf>
    <xf numFmtId="0" fontId="15" fillId="0" borderId="0" xfId="0" applyFont="1"/>
    <xf numFmtId="165" fontId="15" fillId="0" borderId="0" xfId="0" applyNumberFormat="1" applyFont="1"/>
    <xf numFmtId="165" fontId="15" fillId="0" borderId="0" xfId="0" applyNumberFormat="1" applyFont="1" applyAlignment="1">
      <alignment vertical="center"/>
    </xf>
    <xf numFmtId="0" fontId="4" fillId="0" borderId="0" xfId="0" applyFont="1"/>
    <xf numFmtId="165" fontId="4" fillId="0" borderId="0" xfId="0" applyNumberFormat="1" applyFont="1"/>
    <xf numFmtId="166" fontId="3" fillId="0" borderId="0" xfId="1" applyNumberFormat="1" applyFont="1" applyFill="1"/>
    <xf numFmtId="164" fontId="4" fillId="3" borderId="4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166" fontId="4" fillId="3" borderId="5" xfId="1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indent="1"/>
    </xf>
    <xf numFmtId="0" fontId="5" fillId="3" borderId="8" xfId="0" applyFont="1" applyFill="1" applyBorder="1" applyAlignment="1">
      <alignment horizontal="center" vertical="center"/>
    </xf>
    <xf numFmtId="2" fontId="5" fillId="3" borderId="18" xfId="0" applyNumberFormat="1" applyFont="1" applyFill="1" applyBorder="1" applyAlignment="1">
      <alignment horizontal="center" vertical="center"/>
    </xf>
    <xf numFmtId="166" fontId="5" fillId="3" borderId="18" xfId="1" applyNumberFormat="1" applyFont="1" applyFill="1" applyBorder="1" applyAlignment="1">
      <alignment horizontal="center" vertical="center"/>
    </xf>
    <xf numFmtId="165" fontId="5" fillId="3" borderId="19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7" fillId="3" borderId="11" xfId="0" applyFont="1" applyFill="1" applyBorder="1"/>
    <xf numFmtId="2" fontId="7" fillId="3" borderId="11" xfId="0" applyNumberFormat="1" applyFont="1" applyFill="1" applyBorder="1" applyAlignment="1">
      <alignment horizontal="center" vertical="center"/>
    </xf>
    <xf numFmtId="166" fontId="7" fillId="3" borderId="11" xfId="1" applyNumberFormat="1" applyFont="1" applyFill="1" applyBorder="1"/>
    <xf numFmtId="165" fontId="7" fillId="3" borderId="14" xfId="0" applyNumberFormat="1" applyFont="1" applyFill="1" applyBorder="1"/>
    <xf numFmtId="164" fontId="5" fillId="3" borderId="10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wrapText="1" indent="1"/>
    </xf>
    <xf numFmtId="0" fontId="5" fillId="3" borderId="11" xfId="0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top"/>
    </xf>
    <xf numFmtId="165" fontId="5" fillId="3" borderId="14" xfId="0" applyNumberFormat="1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left" vertical="center" indent="1"/>
    </xf>
    <xf numFmtId="166" fontId="5" fillId="3" borderId="11" xfId="1" applyNumberFormat="1" applyFont="1" applyFill="1" applyBorder="1" applyAlignment="1">
      <alignment horizontal="right" vertical="center"/>
    </xf>
    <xf numFmtId="49" fontId="4" fillId="3" borderId="10" xfId="0" applyNumberFormat="1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 indent="1"/>
    </xf>
    <xf numFmtId="0" fontId="5" fillId="3" borderId="12" xfId="0" applyFont="1" applyFill="1" applyBorder="1" applyAlignment="1">
      <alignment vertical="center"/>
    </xf>
    <xf numFmtId="2" fontId="5" fillId="3" borderId="12" xfId="0" applyNumberFormat="1" applyFont="1" applyFill="1" applyBorder="1" applyAlignment="1">
      <alignment horizontal="center" vertical="center"/>
    </xf>
    <xf numFmtId="166" fontId="5" fillId="3" borderId="12" xfId="1" applyNumberFormat="1" applyFont="1" applyFill="1" applyBorder="1" applyAlignment="1">
      <alignment horizontal="center" vertical="center"/>
    </xf>
    <xf numFmtId="165" fontId="5" fillId="3" borderId="13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166" fontId="5" fillId="3" borderId="11" xfId="1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indent="1"/>
    </xf>
    <xf numFmtId="2" fontId="5" fillId="3" borderId="24" xfId="0" applyNumberFormat="1" applyFont="1" applyFill="1" applyBorder="1" applyAlignment="1">
      <alignment horizontal="center" vertical="center"/>
    </xf>
    <xf numFmtId="166" fontId="5" fillId="3" borderId="24" xfId="1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left" indent="1"/>
    </xf>
    <xf numFmtId="165" fontId="4" fillId="3" borderId="17" xfId="0" applyNumberFormat="1" applyFont="1" applyFill="1" applyBorder="1" applyAlignment="1">
      <alignment horizontal="right" vertical="center"/>
    </xf>
    <xf numFmtId="0" fontId="10" fillId="3" borderId="0" xfId="0" applyFont="1" applyFill="1"/>
    <xf numFmtId="0" fontId="4" fillId="3" borderId="11" xfId="0" applyFont="1" applyFill="1" applyBorder="1" applyAlignment="1">
      <alignment vertical="center" wrapText="1"/>
    </xf>
    <xf numFmtId="0" fontId="16" fillId="0" borderId="0" xfId="0" applyFont="1"/>
    <xf numFmtId="166" fontId="5" fillId="3" borderId="12" xfId="1" applyNumberFormat="1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left" indent="1"/>
    </xf>
    <xf numFmtId="0" fontId="5" fillId="3" borderId="11" xfId="0" applyFont="1" applyFill="1" applyBorder="1" applyAlignment="1">
      <alignment horizontal="left" indent="1"/>
    </xf>
    <xf numFmtId="0" fontId="5" fillId="3" borderId="11" xfId="0" applyFont="1" applyFill="1" applyBorder="1"/>
    <xf numFmtId="166" fontId="5" fillId="3" borderId="11" xfId="1" applyNumberFormat="1" applyFont="1" applyFill="1" applyBorder="1"/>
    <xf numFmtId="165" fontId="5" fillId="3" borderId="14" xfId="0" applyNumberFormat="1" applyFont="1" applyFill="1" applyBorder="1"/>
    <xf numFmtId="167" fontId="5" fillId="3" borderId="11" xfId="0" applyNumberFormat="1" applyFont="1" applyFill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5" fillId="3" borderId="24" xfId="0" applyFont="1" applyFill="1" applyBorder="1" applyAlignment="1">
      <alignment horizontal="left" vertical="center" indent="1"/>
    </xf>
    <xf numFmtId="167" fontId="5" fillId="3" borderId="24" xfId="0" applyNumberFormat="1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indent="1"/>
    </xf>
    <xf numFmtId="167" fontId="5" fillId="3" borderId="8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165" fontId="5" fillId="3" borderId="9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 indent="3"/>
    </xf>
    <xf numFmtId="0" fontId="5" fillId="3" borderId="11" xfId="0" applyFont="1" applyFill="1" applyBorder="1" applyAlignment="1">
      <alignment horizontal="left" vertical="center" indent="3"/>
    </xf>
    <xf numFmtId="2" fontId="5" fillId="3" borderId="8" xfId="0" applyNumberFormat="1" applyFont="1" applyFill="1" applyBorder="1" applyAlignment="1">
      <alignment horizontal="center"/>
    </xf>
    <xf numFmtId="166" fontId="5" fillId="3" borderId="8" xfId="1" applyNumberFormat="1" applyFont="1" applyFill="1" applyBorder="1" applyAlignment="1">
      <alignment horizontal="center"/>
    </xf>
    <xf numFmtId="165" fontId="5" fillId="3" borderId="14" xfId="0" applyNumberFormat="1" applyFon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 vertical="center"/>
    </xf>
    <xf numFmtId="166" fontId="7" fillId="3" borderId="11" xfId="1" applyNumberFormat="1" applyFont="1" applyFill="1" applyBorder="1" applyAlignment="1">
      <alignment horizontal="right"/>
    </xf>
    <xf numFmtId="165" fontId="7" fillId="3" borderId="14" xfId="0" applyNumberFormat="1" applyFont="1" applyFill="1" applyBorder="1" applyAlignment="1">
      <alignment horizontal="right"/>
    </xf>
    <xf numFmtId="2" fontId="4" fillId="3" borderId="11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vertical="center" wrapText="1"/>
    </xf>
    <xf numFmtId="166" fontId="5" fillId="3" borderId="8" xfId="1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 indent="1"/>
    </xf>
    <xf numFmtId="0" fontId="5" fillId="3" borderId="24" xfId="0" applyFont="1" applyFill="1" applyBorder="1" applyAlignment="1">
      <alignment horizontal="left" vertical="center" wrapText="1" indent="1"/>
    </xf>
    <xf numFmtId="165" fontId="5" fillId="3" borderId="9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 indent="1"/>
    </xf>
    <xf numFmtId="0" fontId="4" fillId="3" borderId="8" xfId="0" applyFont="1" applyFill="1" applyBorder="1" applyAlignment="1">
      <alignment horizontal="center" vertical="center"/>
    </xf>
    <xf numFmtId="165" fontId="4" fillId="3" borderId="9" xfId="0" applyNumberFormat="1" applyFont="1" applyFill="1" applyBorder="1" applyAlignment="1">
      <alignment horizontal="right" vertical="center"/>
    </xf>
    <xf numFmtId="165" fontId="14" fillId="3" borderId="17" xfId="1" applyNumberFormat="1" applyFont="1" applyFill="1" applyBorder="1" applyAlignment="1">
      <alignment horizontal="right" vertical="center"/>
    </xf>
    <xf numFmtId="165" fontId="5" fillId="0" borderId="0" xfId="0" applyNumberFormat="1" applyFont="1"/>
    <xf numFmtId="0" fontId="17" fillId="0" borderId="0" xfId="0" applyFont="1" applyAlignment="1">
      <alignment horizontal="right" vertical="center"/>
    </xf>
    <xf numFmtId="164" fontId="5" fillId="3" borderId="0" xfId="0" applyNumberFormat="1" applyFont="1" applyFill="1"/>
    <xf numFmtId="0" fontId="5" fillId="3" borderId="0" xfId="0" applyFont="1" applyFill="1" applyAlignment="1">
      <alignment horizontal="left" indent="1"/>
    </xf>
    <xf numFmtId="0" fontId="5" fillId="3" borderId="0" xfId="0" applyFont="1" applyFill="1"/>
    <xf numFmtId="2" fontId="5" fillId="3" borderId="0" xfId="0" applyNumberFormat="1" applyFont="1" applyFill="1" applyAlignment="1">
      <alignment horizontal="center" vertical="center"/>
    </xf>
    <xf numFmtId="166" fontId="5" fillId="3" borderId="0" xfId="1" applyNumberFormat="1" applyFont="1" applyFill="1"/>
    <xf numFmtId="165" fontId="5" fillId="3" borderId="0" xfId="0" applyNumberFormat="1" applyFont="1" applyFill="1"/>
    <xf numFmtId="164" fontId="18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166" fontId="18" fillId="0" borderId="5" xfId="1" applyNumberFormat="1" applyFont="1" applyFill="1" applyBorder="1" applyAlignment="1">
      <alignment horizontal="center" vertical="center"/>
    </xf>
    <xf numFmtId="165" fontId="18" fillId="0" borderId="6" xfId="0" applyNumberFormat="1" applyFont="1" applyBorder="1" applyAlignment="1">
      <alignment horizontal="center" vertical="center"/>
    </xf>
    <xf numFmtId="164" fontId="19" fillId="0" borderId="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left" indent="1"/>
    </xf>
    <xf numFmtId="0" fontId="19" fillId="0" borderId="8" xfId="0" applyFont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 vertical="center"/>
    </xf>
    <xf numFmtId="166" fontId="19" fillId="0" borderId="18" xfId="1" applyNumberFormat="1" applyFont="1" applyFill="1" applyBorder="1" applyAlignment="1">
      <alignment horizontal="center" vertical="center"/>
    </xf>
    <xf numFmtId="165" fontId="19" fillId="0" borderId="19" xfId="0" applyNumberFormat="1" applyFont="1" applyBorder="1" applyAlignment="1">
      <alignment horizontal="right" vertical="center"/>
    </xf>
    <xf numFmtId="164" fontId="20" fillId="0" borderId="10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vertical="center" wrapText="1"/>
    </xf>
    <xf numFmtId="0" fontId="21" fillId="0" borderId="11" xfId="0" applyFont="1" applyBorder="1"/>
    <xf numFmtId="2" fontId="21" fillId="0" borderId="11" xfId="0" applyNumberFormat="1" applyFont="1" applyBorder="1" applyAlignment="1">
      <alignment horizontal="center" vertical="center"/>
    </xf>
    <xf numFmtId="166" fontId="21" fillId="0" borderId="12" xfId="1" applyNumberFormat="1" applyFont="1" applyFill="1" applyBorder="1"/>
    <xf numFmtId="165" fontId="21" fillId="0" borderId="13" xfId="0" applyNumberFormat="1" applyFont="1" applyBorder="1" applyAlignment="1">
      <alignment horizontal="right"/>
    </xf>
    <xf numFmtId="164" fontId="19" fillId="0" borderId="10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left" vertical="center" wrapText="1" indent="1"/>
    </xf>
    <xf numFmtId="0" fontId="19" fillId="0" borderId="11" xfId="0" applyFont="1" applyBorder="1" applyAlignment="1">
      <alignment horizontal="center" vertical="center"/>
    </xf>
    <xf numFmtId="2" fontId="19" fillId="0" borderId="11" xfId="0" applyNumberFormat="1" applyFont="1" applyBorder="1" applyAlignment="1">
      <alignment horizontal="center" vertical="center"/>
    </xf>
    <xf numFmtId="165" fontId="19" fillId="0" borderId="14" xfId="0" applyNumberFormat="1" applyFont="1" applyBorder="1" applyAlignment="1">
      <alignment horizontal="center" vertical="center"/>
    </xf>
    <xf numFmtId="2" fontId="19" fillId="0" borderId="11" xfId="0" applyNumberFormat="1" applyFont="1" applyBorder="1" applyAlignment="1">
      <alignment horizontal="center" vertical="top"/>
    </xf>
    <xf numFmtId="165" fontId="19" fillId="0" borderId="14" xfId="0" applyNumberFormat="1" applyFont="1" applyBorder="1" applyAlignment="1">
      <alignment horizontal="right" vertical="center"/>
    </xf>
    <xf numFmtId="49" fontId="19" fillId="0" borderId="11" xfId="0" applyNumberFormat="1" applyFont="1" applyBorder="1" applyAlignment="1">
      <alignment horizontal="left" vertical="center" wrapText="1" indent="1"/>
    </xf>
    <xf numFmtId="0" fontId="18" fillId="0" borderId="11" xfId="0" applyFont="1" applyBorder="1" applyAlignment="1">
      <alignment horizontal="left" vertical="center" indent="1"/>
    </xf>
    <xf numFmtId="166" fontId="19" fillId="0" borderId="11" xfId="1" applyNumberFormat="1" applyFont="1" applyFill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indent="1"/>
    </xf>
    <xf numFmtId="0" fontId="19" fillId="0" borderId="12" xfId="0" applyFont="1" applyBorder="1" applyAlignment="1">
      <alignment vertical="center"/>
    </xf>
    <xf numFmtId="2" fontId="19" fillId="0" borderId="12" xfId="0" applyNumberFormat="1" applyFont="1" applyBorder="1" applyAlignment="1">
      <alignment horizontal="center" vertical="center"/>
    </xf>
    <xf numFmtId="166" fontId="19" fillId="0" borderId="12" xfId="1" applyNumberFormat="1" applyFont="1" applyFill="1" applyBorder="1" applyAlignment="1">
      <alignment horizontal="center" vertical="center"/>
    </xf>
    <xf numFmtId="165" fontId="19" fillId="0" borderId="1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vertical="center"/>
    </xf>
    <xf numFmtId="166" fontId="19" fillId="0" borderId="11" xfId="1" applyNumberFormat="1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 indent="1"/>
    </xf>
    <xf numFmtId="2" fontId="19" fillId="0" borderId="24" xfId="0" applyNumberFormat="1" applyFont="1" applyBorder="1" applyAlignment="1">
      <alignment horizontal="center" vertical="center"/>
    </xf>
    <xf numFmtId="166" fontId="19" fillId="0" borderId="24" xfId="1" applyNumberFormat="1" applyFont="1" applyFill="1" applyBorder="1" applyAlignment="1">
      <alignment horizontal="right" vertical="center"/>
    </xf>
    <xf numFmtId="165" fontId="19" fillId="0" borderId="26" xfId="0" applyNumberFormat="1" applyFont="1" applyBorder="1" applyAlignment="1">
      <alignment horizontal="right" vertical="center"/>
    </xf>
    <xf numFmtId="0" fontId="19" fillId="0" borderId="15" xfId="0" applyFont="1" applyBorder="1" applyAlignment="1">
      <alignment horizontal="left" indent="1"/>
    </xf>
    <xf numFmtId="165" fontId="18" fillId="0" borderId="17" xfId="0" applyNumberFormat="1" applyFont="1" applyBorder="1" applyAlignment="1">
      <alignment horizontal="right" vertical="center"/>
    </xf>
    <xf numFmtId="0" fontId="23" fillId="0" borderId="0" xfId="0" applyFont="1"/>
    <xf numFmtId="165" fontId="19" fillId="0" borderId="19" xfId="0" applyNumberFormat="1" applyFont="1" applyBorder="1" applyAlignment="1">
      <alignment horizontal="center" vertical="center"/>
    </xf>
    <xf numFmtId="166" fontId="21" fillId="0" borderId="11" xfId="1" applyNumberFormat="1" applyFont="1" applyFill="1" applyBorder="1" applyAlignment="1">
      <alignment horizontal="right" vertical="center"/>
    </xf>
    <xf numFmtId="166" fontId="21" fillId="0" borderId="15" xfId="1" applyNumberFormat="1" applyFont="1" applyFill="1" applyBorder="1"/>
    <xf numFmtId="165" fontId="21" fillId="0" borderId="14" xfId="0" applyNumberFormat="1" applyFont="1" applyBorder="1" applyAlignment="1">
      <alignment horizontal="right"/>
    </xf>
    <xf numFmtId="0" fontId="24" fillId="0" borderId="0" xfId="0" applyFont="1"/>
    <xf numFmtId="0" fontId="18" fillId="0" borderId="11" xfId="0" applyFont="1" applyBorder="1" applyAlignment="1">
      <alignment vertical="center" wrapText="1"/>
    </xf>
    <xf numFmtId="166" fontId="19" fillId="0" borderId="15" xfId="1" applyNumberFormat="1" applyFont="1" applyFill="1" applyBorder="1" applyAlignment="1">
      <alignment horizontal="center" vertical="center"/>
    </xf>
    <xf numFmtId="0" fontId="25" fillId="0" borderId="0" xfId="0" applyFont="1"/>
    <xf numFmtId="0" fontId="19" fillId="0" borderId="11" xfId="0" applyFont="1" applyBorder="1" applyAlignment="1">
      <alignment horizontal="left" vertical="center" indent="3"/>
    </xf>
    <xf numFmtId="2" fontId="19" fillId="0" borderId="24" xfId="0" applyNumberFormat="1" applyFont="1" applyBorder="1" applyAlignment="1">
      <alignment horizontal="center"/>
    </xf>
    <xf numFmtId="166" fontId="19" fillId="0" borderId="25" xfId="1" applyNumberFormat="1" applyFont="1" applyFill="1" applyBorder="1" applyAlignment="1">
      <alignment horizontal="center"/>
    </xf>
    <xf numFmtId="0" fontId="18" fillId="0" borderId="11" xfId="0" applyFont="1" applyBorder="1" applyAlignment="1">
      <alignment horizontal="left" indent="1"/>
    </xf>
    <xf numFmtId="0" fontId="19" fillId="0" borderId="11" xfId="0" applyFont="1" applyBorder="1" applyAlignment="1">
      <alignment horizontal="left" indent="1"/>
    </xf>
    <xf numFmtId="166" fontId="19" fillId="0" borderId="31" xfId="1" applyNumberFormat="1" applyFont="1" applyFill="1" applyBorder="1" applyAlignment="1">
      <alignment horizontal="center" vertical="center"/>
    </xf>
    <xf numFmtId="0" fontId="19" fillId="0" borderId="11" xfId="0" applyFont="1" applyBorder="1"/>
    <xf numFmtId="166" fontId="19" fillId="0" borderId="15" xfId="1" applyNumberFormat="1" applyFont="1" applyFill="1" applyBorder="1"/>
    <xf numFmtId="165" fontId="19" fillId="0" borderId="14" xfId="0" applyNumberFormat="1" applyFont="1" applyBorder="1" applyAlignment="1">
      <alignment horizontal="right"/>
    </xf>
    <xf numFmtId="49" fontId="18" fillId="0" borderId="23" xfId="0" applyNumberFormat="1" applyFont="1" applyBorder="1" applyAlignment="1">
      <alignment horizontal="center" vertical="center"/>
    </xf>
    <xf numFmtId="0" fontId="19" fillId="0" borderId="24" xfId="0" applyFont="1" applyBorder="1" applyAlignment="1">
      <alignment horizontal="left" vertical="center" indent="1"/>
    </xf>
    <xf numFmtId="0" fontId="19" fillId="0" borderId="24" xfId="0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indent="1"/>
    </xf>
    <xf numFmtId="2" fontId="19" fillId="0" borderId="8" xfId="0" applyNumberFormat="1" applyFont="1" applyBorder="1" applyAlignment="1">
      <alignment horizontal="center" vertical="center"/>
    </xf>
    <xf numFmtId="165" fontId="19" fillId="0" borderId="9" xfId="0" applyNumberFormat="1" applyFont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/>
    </xf>
    <xf numFmtId="166" fontId="19" fillId="0" borderId="31" xfId="1" applyNumberFormat="1" applyFont="1" applyFill="1" applyBorder="1" applyAlignment="1">
      <alignment horizontal="center"/>
    </xf>
    <xf numFmtId="164" fontId="20" fillId="0" borderId="7" xfId="0" applyNumberFormat="1" applyFont="1" applyBorder="1" applyAlignment="1">
      <alignment horizontal="center" vertical="center"/>
    </xf>
    <xf numFmtId="166" fontId="21" fillId="0" borderId="15" xfId="1" applyNumberFormat="1" applyFont="1" applyFill="1" applyBorder="1" applyAlignment="1">
      <alignment horizontal="right"/>
    </xf>
    <xf numFmtId="166" fontId="19" fillId="0" borderId="15" xfId="1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2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 indent="1"/>
    </xf>
    <xf numFmtId="49" fontId="19" fillId="0" borderId="23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166" fontId="19" fillId="0" borderId="27" xfId="1" applyNumberFormat="1" applyFont="1" applyFill="1" applyBorder="1" applyAlignment="1">
      <alignment horizontal="right" vertical="center"/>
    </xf>
    <xf numFmtId="165" fontId="19" fillId="0" borderId="9" xfId="0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left" vertical="top" wrapText="1" indent="1"/>
    </xf>
    <xf numFmtId="164" fontId="18" fillId="0" borderId="7" xfId="0" applyNumberFormat="1" applyFont="1" applyBorder="1" applyAlignment="1">
      <alignment horizontal="center" vertical="center"/>
    </xf>
    <xf numFmtId="164" fontId="18" fillId="0" borderId="33" xfId="0" applyNumberFormat="1" applyFont="1" applyBorder="1" applyAlignment="1">
      <alignment horizontal="center" vertical="center"/>
    </xf>
    <xf numFmtId="0" fontId="19" fillId="0" borderId="24" xfId="0" applyFont="1" applyBorder="1"/>
    <xf numFmtId="2" fontId="19" fillId="0" borderId="34" xfId="0" applyNumberFormat="1" applyFont="1" applyBorder="1" applyAlignment="1">
      <alignment horizontal="center" vertical="center"/>
    </xf>
    <xf numFmtId="166" fontId="19" fillId="0" borderId="35" xfId="1" applyNumberFormat="1" applyFont="1" applyFill="1" applyBorder="1" applyAlignment="1">
      <alignment horizontal="right"/>
    </xf>
    <xf numFmtId="0" fontId="20" fillId="0" borderId="8" xfId="0" applyFont="1" applyBorder="1" applyAlignment="1">
      <alignment vertical="center" wrapText="1"/>
    </xf>
    <xf numFmtId="0" fontId="21" fillId="0" borderId="8" xfId="0" applyFont="1" applyBorder="1" applyAlignment="1">
      <alignment vertical="center"/>
    </xf>
    <xf numFmtId="2" fontId="21" fillId="0" borderId="8" xfId="0" applyNumberFormat="1" applyFont="1" applyBorder="1" applyAlignment="1">
      <alignment horizontal="center" vertical="center"/>
    </xf>
    <xf numFmtId="166" fontId="21" fillId="0" borderId="8" xfId="1" applyNumberFormat="1" applyFont="1" applyFill="1" applyBorder="1" applyAlignment="1">
      <alignment vertical="center"/>
    </xf>
    <xf numFmtId="165" fontId="21" fillId="0" borderId="9" xfId="0" applyNumberFormat="1" applyFont="1" applyBorder="1" applyAlignment="1">
      <alignment vertical="center"/>
    </xf>
    <xf numFmtId="166" fontId="19" fillId="0" borderId="15" xfId="1" applyNumberFormat="1" applyFont="1" applyFill="1" applyBorder="1" applyAlignment="1">
      <alignment vertical="center"/>
    </xf>
    <xf numFmtId="165" fontId="19" fillId="0" borderId="14" xfId="0" applyNumberFormat="1" applyFont="1" applyBorder="1" applyAlignment="1">
      <alignment vertical="center"/>
    </xf>
    <xf numFmtId="165" fontId="26" fillId="0" borderId="17" xfId="1" applyNumberFormat="1" applyFont="1" applyFill="1" applyBorder="1" applyAlignment="1">
      <alignment horizontal="right" vertical="center"/>
    </xf>
    <xf numFmtId="166" fontId="5" fillId="0" borderId="0" xfId="1" applyNumberFormat="1" applyFont="1"/>
    <xf numFmtId="165" fontId="27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18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6" fontId="5" fillId="0" borderId="12" xfId="1" applyNumberFormat="1" applyFont="1" applyFill="1" applyBorder="1"/>
    <xf numFmtId="165" fontId="5" fillId="0" borderId="13" xfId="0" applyNumberFormat="1" applyFont="1" applyBorder="1" applyAlignment="1">
      <alignment horizontal="center"/>
    </xf>
    <xf numFmtId="164" fontId="5" fillId="0" borderId="10" xfId="4" applyNumberFormat="1" applyFont="1" applyFill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Continuous" vertical="center"/>
    </xf>
    <xf numFmtId="0" fontId="9" fillId="0" borderId="0" xfId="0" applyFont="1" applyAlignment="1">
      <alignment horizontal="left" vertical="center" indent="1"/>
    </xf>
    <xf numFmtId="165" fontId="4" fillId="0" borderId="3" xfId="0" applyNumberFormat="1" applyFont="1" applyBorder="1" applyAlignment="1">
      <alignment horizontal="right" vertical="center"/>
    </xf>
    <xf numFmtId="166" fontId="5" fillId="0" borderId="11" xfId="1" applyNumberFormat="1" applyFont="1" applyFill="1" applyBorder="1"/>
    <xf numFmtId="165" fontId="5" fillId="0" borderId="14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66" fontId="5" fillId="0" borderId="12" xfId="1" applyNumberFormat="1" applyFont="1" applyFill="1" applyBorder="1" applyAlignment="1">
      <alignment horizontal="right" vertical="center"/>
    </xf>
    <xf numFmtId="167" fontId="5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indent="1"/>
    </xf>
    <xf numFmtId="167" fontId="5" fillId="0" borderId="12" xfId="0" applyNumberFormat="1" applyFont="1" applyBorder="1" applyAlignment="1">
      <alignment horizontal="center" vertical="center"/>
    </xf>
    <xf numFmtId="166" fontId="5" fillId="0" borderId="11" xfId="1" applyNumberFormat="1" applyFont="1" applyFill="1" applyBorder="1" applyAlignment="1">
      <alignment horizontal="center"/>
    </xf>
    <xf numFmtId="166" fontId="5" fillId="0" borderId="11" xfId="1" applyNumberFormat="1" applyFont="1" applyFill="1" applyBorder="1" applyAlignment="1">
      <alignment horizontal="right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 vertical="center"/>
    </xf>
    <xf numFmtId="166" fontId="7" fillId="0" borderId="11" xfId="1" applyNumberFormat="1" applyFont="1" applyFill="1" applyBorder="1"/>
    <xf numFmtId="165" fontId="7" fillId="0" borderId="14" xfId="0" applyNumberFormat="1" applyFont="1" applyBorder="1"/>
    <xf numFmtId="0" fontId="4" fillId="0" borderId="0" xfId="4" applyNumberFormat="1" applyFont="1" applyFill="1" applyAlignment="1"/>
    <xf numFmtId="2" fontId="5" fillId="0" borderId="11" xfId="0" applyNumberFormat="1" applyFont="1" applyBorder="1" applyAlignment="1">
      <alignment horizontal="centerContinuous" vertical="center"/>
    </xf>
    <xf numFmtId="0" fontId="9" fillId="0" borderId="11" xfId="0" applyFont="1" applyBorder="1" applyAlignment="1">
      <alignment horizontal="left" indent="1"/>
    </xf>
    <xf numFmtId="0" fontId="28" fillId="0" borderId="0" xfId="0" applyFont="1"/>
    <xf numFmtId="0" fontId="4" fillId="0" borderId="15" xfId="0" applyFont="1" applyBorder="1" applyAlignment="1">
      <alignment horizontal="left" indent="1"/>
    </xf>
    <xf numFmtId="165" fontId="5" fillId="0" borderId="14" xfId="0" applyNumberFormat="1" applyFont="1" applyBorder="1"/>
    <xf numFmtId="49" fontId="29" fillId="0" borderId="10" xfId="0" applyNumberFormat="1" applyFont="1" applyBorder="1" applyAlignment="1">
      <alignment horizontal="center" vertical="center"/>
    </xf>
    <xf numFmtId="167" fontId="30" fillId="0" borderId="11" xfId="0" applyNumberFormat="1" applyFont="1" applyBorder="1" applyAlignment="1">
      <alignment horizontal="center" vertical="center"/>
    </xf>
    <xf numFmtId="167" fontId="29" fillId="0" borderId="11" xfId="0" applyNumberFormat="1" applyFont="1" applyBorder="1" applyAlignment="1">
      <alignment horizontal="center" vertical="center"/>
    </xf>
    <xf numFmtId="166" fontId="30" fillId="0" borderId="11" xfId="1" applyNumberFormat="1" applyFont="1" applyFill="1" applyBorder="1" applyAlignment="1">
      <alignment horizontal="right" vertical="center"/>
    </xf>
    <xf numFmtId="165" fontId="30" fillId="0" borderId="14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left" vertical="center" indent="1"/>
    </xf>
    <xf numFmtId="2" fontId="30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horizontal="left" vertical="center" wrapText="1" indent="1"/>
    </xf>
    <xf numFmtId="0" fontId="30" fillId="0" borderId="11" xfId="0" applyFont="1" applyBorder="1" applyAlignment="1">
      <alignment horizontal="left" vertical="center" indent="1"/>
    </xf>
    <xf numFmtId="0" fontId="30" fillId="0" borderId="24" xfId="0" applyFont="1" applyBorder="1" applyAlignment="1">
      <alignment horizontal="left" vertical="center" indent="1"/>
    </xf>
    <xf numFmtId="167" fontId="30" fillId="0" borderId="24" xfId="0" applyNumberFormat="1" applyFont="1" applyBorder="1" applyAlignment="1">
      <alignment horizontal="center" vertical="center"/>
    </xf>
    <xf numFmtId="2" fontId="30" fillId="0" borderId="24" xfId="0" applyNumberFormat="1" applyFont="1" applyBorder="1" applyAlignment="1">
      <alignment horizontal="center" vertical="center"/>
    </xf>
    <xf numFmtId="165" fontId="30" fillId="0" borderId="26" xfId="0" applyNumberFormat="1" applyFont="1" applyBorder="1" applyAlignment="1">
      <alignment horizontal="right" vertical="center"/>
    </xf>
    <xf numFmtId="0" fontId="30" fillId="0" borderId="8" xfId="0" applyFont="1" applyBorder="1" applyAlignment="1">
      <alignment horizontal="left" vertical="center" indent="1"/>
    </xf>
    <xf numFmtId="167" fontId="30" fillId="0" borderId="8" xfId="0" applyNumberFormat="1" applyFont="1" applyBorder="1" applyAlignment="1">
      <alignment horizontal="center" vertical="center"/>
    </xf>
    <xf numFmtId="2" fontId="30" fillId="0" borderId="8" xfId="0" applyNumberFormat="1" applyFont="1" applyBorder="1" applyAlignment="1">
      <alignment horizontal="center" vertical="center"/>
    </xf>
    <xf numFmtId="165" fontId="30" fillId="0" borderId="9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 indent="3"/>
    </xf>
    <xf numFmtId="2" fontId="5" fillId="0" borderId="8" xfId="0" applyNumberFormat="1" applyFont="1" applyBorder="1" applyAlignment="1">
      <alignment horizontal="center"/>
    </xf>
    <xf numFmtId="166" fontId="5" fillId="0" borderId="8" xfId="1" applyNumberFormat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 vertical="center"/>
    </xf>
    <xf numFmtId="166" fontId="7" fillId="0" borderId="11" xfId="1" applyNumberFormat="1" applyFont="1" applyFill="1" applyBorder="1" applyAlignment="1">
      <alignment horizontal="right"/>
    </xf>
    <xf numFmtId="0" fontId="5" fillId="0" borderId="37" xfId="0" applyFont="1" applyBorder="1" applyAlignment="1">
      <alignment horizontal="left" vertical="center" indent="1"/>
    </xf>
    <xf numFmtId="0" fontId="30" fillId="3" borderId="11" xfId="0" applyFont="1" applyFill="1" applyBorder="1" applyAlignment="1">
      <alignment horizontal="center" vertical="center"/>
    </xf>
    <xf numFmtId="2" fontId="30" fillId="3" borderId="11" xfId="0" applyNumberFormat="1" applyFont="1" applyFill="1" applyBorder="1" applyAlignment="1">
      <alignment horizontal="center" vertical="center"/>
    </xf>
    <xf numFmtId="165" fontId="30" fillId="3" borderId="14" xfId="0" applyNumberFormat="1" applyFont="1" applyFill="1" applyBorder="1" applyAlignment="1">
      <alignment horizontal="right" vertical="center"/>
    </xf>
    <xf numFmtId="0" fontId="30" fillId="3" borderId="11" xfId="0" applyFont="1" applyFill="1" applyBorder="1" applyAlignment="1">
      <alignment horizontal="left" vertical="center" indent="1"/>
    </xf>
    <xf numFmtId="0" fontId="30" fillId="0" borderId="11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5" fillId="3" borderId="36" xfId="0" applyFont="1" applyFill="1" applyBorder="1" applyAlignment="1">
      <alignment horizontal="left" vertical="center" wrapText="1" indent="1"/>
    </xf>
    <xf numFmtId="0" fontId="5" fillId="0" borderId="36" xfId="0" applyFont="1" applyBorder="1" applyAlignment="1">
      <alignment horizontal="left" vertical="center" wrapText="1" indent="1"/>
    </xf>
    <xf numFmtId="165" fontId="5" fillId="0" borderId="13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 indent="1"/>
    </xf>
    <xf numFmtId="164" fontId="4" fillId="0" borderId="23" xfId="0" applyNumberFormat="1" applyFont="1" applyBorder="1" applyAlignment="1">
      <alignment horizontal="center" vertical="center"/>
    </xf>
    <xf numFmtId="166" fontId="5" fillId="0" borderId="18" xfId="1" applyNumberFormat="1" applyFont="1" applyFill="1" applyBorder="1" applyAlignment="1">
      <alignment horizontal="right"/>
    </xf>
    <xf numFmtId="165" fontId="17" fillId="0" borderId="0" xfId="0" applyNumberFormat="1" applyFont="1" applyAlignment="1">
      <alignment vertical="center"/>
    </xf>
    <xf numFmtId="0" fontId="31" fillId="0" borderId="0" xfId="0" applyFont="1"/>
    <xf numFmtId="0" fontId="32" fillId="0" borderId="0" xfId="0" applyFont="1"/>
    <xf numFmtId="166" fontId="4" fillId="0" borderId="5" xfId="1" applyNumberFormat="1" applyFont="1" applyFill="1" applyBorder="1" applyAlignment="1">
      <alignment horizontal="right" vertical="center"/>
    </xf>
    <xf numFmtId="166" fontId="5" fillId="0" borderId="18" xfId="1" applyNumberFormat="1" applyFont="1" applyFill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166" fontId="7" fillId="0" borderId="11" xfId="1" applyNumberFormat="1" applyFont="1" applyFill="1" applyBorder="1" applyAlignment="1">
      <alignment horizontal="right" vertical="center"/>
    </xf>
    <xf numFmtId="2" fontId="7" fillId="0" borderId="11" xfId="0" applyNumberFormat="1" applyFont="1" applyBorder="1" applyAlignment="1">
      <alignment horizontal="centerContinuous" vertical="center"/>
    </xf>
    <xf numFmtId="165" fontId="7" fillId="0" borderId="14" xfId="0" applyNumberFormat="1" applyFont="1" applyBorder="1" applyAlignment="1">
      <alignment horizontal="right" vertical="center"/>
    </xf>
    <xf numFmtId="0" fontId="33" fillId="0" borderId="11" xfId="0" applyFont="1" applyBorder="1" applyAlignment="1">
      <alignment horizontal="left" indent="1"/>
    </xf>
    <xf numFmtId="2" fontId="5" fillId="0" borderId="24" xfId="0" applyNumberFormat="1" applyFont="1" applyBorder="1" applyAlignment="1">
      <alignment horizontal="center"/>
    </xf>
    <xf numFmtId="0" fontId="16" fillId="0" borderId="0" xfId="0" applyFont="1" applyAlignment="1">
      <alignment vertical="center"/>
    </xf>
    <xf numFmtId="0" fontId="14" fillId="0" borderId="11" xfId="0" applyFont="1" applyBorder="1" applyAlignment="1">
      <alignment horizontal="left" indent="1"/>
    </xf>
    <xf numFmtId="167" fontId="5" fillId="0" borderId="24" xfId="0" applyNumberFormat="1" applyFont="1" applyBorder="1" applyAlignment="1">
      <alignment horizontal="center" vertical="center"/>
    </xf>
    <xf numFmtId="167" fontId="5" fillId="0" borderId="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right"/>
    </xf>
    <xf numFmtId="0" fontId="4" fillId="0" borderId="11" xfId="0" applyFont="1" applyBorder="1" applyAlignment="1">
      <alignment vertical="center"/>
    </xf>
    <xf numFmtId="166" fontId="5" fillId="0" borderId="0" xfId="1" applyNumberFormat="1" applyFont="1" applyFill="1" applyAlignment="1">
      <alignment horizontal="right" vertical="center"/>
    </xf>
    <xf numFmtId="0" fontId="34" fillId="0" borderId="0" xfId="0" applyFont="1"/>
    <xf numFmtId="2" fontId="5" fillId="0" borderId="27" xfId="0" applyNumberFormat="1" applyFont="1" applyBorder="1" applyAlignment="1">
      <alignment horizontal="center" vertical="center"/>
    </xf>
    <xf numFmtId="166" fontId="5" fillId="0" borderId="38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2" fontId="7" fillId="0" borderId="15" xfId="0" applyNumberFormat="1" applyFont="1" applyBorder="1" applyAlignment="1">
      <alignment horizontal="center" vertical="center"/>
    </xf>
    <xf numFmtId="166" fontId="7" fillId="0" borderId="39" xfId="1" applyNumberFormat="1" applyFont="1" applyFill="1" applyBorder="1" applyAlignment="1">
      <alignment vertical="center"/>
    </xf>
    <xf numFmtId="165" fontId="7" fillId="0" borderId="13" xfId="0" applyNumberFormat="1" applyFont="1" applyBorder="1" applyAlignment="1">
      <alignment horizontal="right" vertical="center"/>
    </xf>
    <xf numFmtId="2" fontId="5" fillId="0" borderId="12" xfId="0" applyNumberFormat="1" applyFont="1" applyBorder="1" applyAlignment="1">
      <alignment horizontal="center" vertical="top"/>
    </xf>
    <xf numFmtId="2" fontId="5" fillId="0" borderId="41" xfId="0" applyNumberFormat="1" applyFont="1" applyBorder="1" applyAlignment="1">
      <alignment horizontal="center" vertical="center"/>
    </xf>
    <xf numFmtId="166" fontId="5" fillId="0" borderId="39" xfId="1" applyNumberFormat="1" applyFont="1" applyFill="1" applyBorder="1" applyAlignment="1">
      <alignment horizontal="center" vertical="center"/>
    </xf>
    <xf numFmtId="165" fontId="5" fillId="0" borderId="13" xfId="2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indent="1"/>
    </xf>
    <xf numFmtId="0" fontId="5" fillId="0" borderId="18" xfId="0" applyFont="1" applyBorder="1"/>
    <xf numFmtId="166" fontId="5" fillId="0" borderId="18" xfId="1" applyNumberFormat="1" applyFont="1" applyFill="1" applyBorder="1" applyAlignment="1">
      <alignment vertical="center"/>
    </xf>
    <xf numFmtId="0" fontId="9" fillId="0" borderId="11" xfId="0" applyFont="1" applyBorder="1" applyAlignment="1">
      <alignment horizontal="left" vertical="center" wrapText="1" indent="2"/>
    </xf>
    <xf numFmtId="0" fontId="5" fillId="0" borderId="24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2"/>
    </xf>
    <xf numFmtId="166" fontId="5" fillId="0" borderId="0" xfId="1" applyNumberFormat="1" applyFont="1" applyFill="1" applyAlignment="1">
      <alignment vertical="center"/>
    </xf>
    <xf numFmtId="0" fontId="5" fillId="0" borderId="42" xfId="0" applyFont="1" applyBorder="1" applyAlignment="1">
      <alignment horizontal="left" vertical="center" indent="1"/>
    </xf>
    <xf numFmtId="0" fontId="5" fillId="3" borderId="8" xfId="0" applyFont="1" applyFill="1" applyBorder="1"/>
    <xf numFmtId="2" fontId="5" fillId="3" borderId="43" xfId="0" applyNumberFormat="1" applyFont="1" applyFill="1" applyBorder="1" applyAlignment="1">
      <alignment horizontal="center" vertical="center"/>
    </xf>
    <xf numFmtId="166" fontId="5" fillId="3" borderId="43" xfId="1" applyNumberFormat="1" applyFont="1" applyFill="1" applyBorder="1" applyAlignment="1">
      <alignment horizontal="right"/>
    </xf>
    <xf numFmtId="165" fontId="5" fillId="3" borderId="14" xfId="0" applyNumberFormat="1" applyFont="1" applyFill="1" applyBorder="1" applyAlignment="1">
      <alignment horizontal="right"/>
    </xf>
    <xf numFmtId="165" fontId="4" fillId="0" borderId="0" xfId="0" applyNumberFormat="1" applyFont="1" applyAlignment="1">
      <alignment horizontal="right" vertical="center"/>
    </xf>
    <xf numFmtId="0" fontId="9" fillId="0" borderId="24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vertical="center" wrapText="1"/>
    </xf>
    <xf numFmtId="0" fontId="6" fillId="0" borderId="11" xfId="0" applyFont="1" applyBorder="1" applyAlignment="1">
      <alignment horizontal="left" indent="1"/>
    </xf>
    <xf numFmtId="0" fontId="4" fillId="3" borderId="0" xfId="4" applyNumberFormat="1" applyFont="1" applyFill="1" applyAlignment="1"/>
    <xf numFmtId="166" fontId="5" fillId="0" borderId="0" xfId="1" applyNumberFormat="1" applyFont="1" applyFill="1" applyBorder="1" applyAlignment="1">
      <alignment horizontal="right" vertical="center"/>
    </xf>
    <xf numFmtId="165" fontId="5" fillId="0" borderId="16" xfId="0" applyNumberFormat="1" applyFont="1" applyBorder="1" applyAlignment="1">
      <alignment horizontal="right" vertical="center"/>
    </xf>
    <xf numFmtId="165" fontId="5" fillId="0" borderId="26" xfId="0" applyNumberFormat="1" applyFont="1" applyBorder="1" applyAlignment="1">
      <alignment horizontal="center" vertical="center"/>
    </xf>
    <xf numFmtId="166" fontId="7" fillId="0" borderId="24" xfId="1" applyNumberFormat="1" applyFont="1" applyFill="1" applyBorder="1" applyAlignment="1">
      <alignment horizontal="right"/>
    </xf>
    <xf numFmtId="166" fontId="7" fillId="0" borderId="8" xfId="1" applyNumberFormat="1" applyFont="1" applyFill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164" fontId="5" fillId="0" borderId="10" xfId="0" applyNumberFormat="1" applyFont="1" applyBorder="1"/>
    <xf numFmtId="166" fontId="5" fillId="0" borderId="31" xfId="1" applyNumberFormat="1" applyFont="1" applyFill="1" applyBorder="1" applyAlignment="1">
      <alignment horizontal="right"/>
    </xf>
    <xf numFmtId="2" fontId="5" fillId="0" borderId="34" xfId="0" applyNumberFormat="1" applyFont="1" applyBorder="1" applyAlignment="1">
      <alignment horizontal="center" vertical="center"/>
    </xf>
    <xf numFmtId="166" fontId="5" fillId="0" borderId="35" xfId="1" applyNumberFormat="1" applyFont="1" applyFill="1" applyBorder="1" applyAlignment="1">
      <alignment horizontal="right"/>
    </xf>
    <xf numFmtId="0" fontId="5" fillId="0" borderId="8" xfId="0" applyFont="1" applyBorder="1"/>
    <xf numFmtId="166" fontId="5" fillId="0" borderId="18" xfId="1" applyNumberFormat="1" applyFont="1" applyFill="1" applyBorder="1"/>
    <xf numFmtId="165" fontId="5" fillId="0" borderId="9" xfId="0" applyNumberFormat="1" applyFont="1" applyBorder="1"/>
    <xf numFmtId="2" fontId="4" fillId="0" borderId="11" xfId="0" applyNumberFormat="1" applyFont="1" applyBorder="1" applyAlignment="1">
      <alignment vertical="center"/>
    </xf>
    <xf numFmtId="166" fontId="4" fillId="0" borderId="11" xfId="1" applyNumberFormat="1" applyFont="1" applyFill="1" applyBorder="1" applyAlignment="1">
      <alignment vertical="center"/>
    </xf>
    <xf numFmtId="165" fontId="4" fillId="0" borderId="14" xfId="0" applyNumberFormat="1" applyFont="1" applyBorder="1" applyAlignment="1">
      <alignment vertical="center"/>
    </xf>
    <xf numFmtId="166" fontId="5" fillId="0" borderId="18" xfId="1" applyNumberFormat="1" applyFont="1" applyFill="1" applyBorder="1" applyAlignment="1">
      <alignment horizontal="center"/>
    </xf>
    <xf numFmtId="0" fontId="5" fillId="0" borderId="24" xfId="0" applyFont="1" applyBorder="1"/>
    <xf numFmtId="166" fontId="5" fillId="0" borderId="24" xfId="1" applyNumberFormat="1" applyFont="1" applyFill="1" applyBorder="1"/>
    <xf numFmtId="165" fontId="5" fillId="0" borderId="26" xfId="0" applyNumberFormat="1" applyFont="1" applyBorder="1"/>
    <xf numFmtId="0" fontId="6" fillId="0" borderId="8" xfId="0" applyFont="1" applyBorder="1" applyAlignment="1">
      <alignment vertical="center" wrapText="1"/>
    </xf>
    <xf numFmtId="0" fontId="7" fillId="0" borderId="8" xfId="0" applyFont="1" applyBorder="1"/>
    <xf numFmtId="2" fontId="7" fillId="0" borderId="8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right"/>
    </xf>
    <xf numFmtId="166" fontId="23" fillId="0" borderId="0" xfId="1" applyNumberFormat="1" applyFont="1"/>
    <xf numFmtId="165" fontId="5" fillId="0" borderId="19" xfId="0" applyNumberFormat="1" applyFont="1" applyBorder="1"/>
    <xf numFmtId="165" fontId="5" fillId="0" borderId="19" xfId="0" applyNumberFormat="1" applyFont="1" applyBorder="1" applyAlignment="1">
      <alignment horizontal="center"/>
    </xf>
    <xf numFmtId="164" fontId="5" fillId="0" borderId="23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indent="3"/>
    </xf>
    <xf numFmtId="2" fontId="5" fillId="0" borderId="34" xfId="0" applyNumberFormat="1" applyFont="1" applyBorder="1" applyAlignment="1">
      <alignment horizontal="center"/>
    </xf>
    <xf numFmtId="166" fontId="5" fillId="0" borderId="34" xfId="1" applyNumberFormat="1" applyFont="1" applyFill="1" applyBorder="1" applyAlignment="1">
      <alignment horizontal="center"/>
    </xf>
    <xf numFmtId="165" fontId="5" fillId="0" borderId="26" xfId="0" applyNumberFormat="1" applyFont="1" applyBorder="1" applyAlignment="1">
      <alignment horizontal="center"/>
    </xf>
    <xf numFmtId="49" fontId="35" fillId="0" borderId="10" xfId="0" applyNumberFormat="1" applyFont="1" applyBorder="1" applyAlignment="1">
      <alignment horizontal="center" vertical="center"/>
    </xf>
    <xf numFmtId="164" fontId="25" fillId="0" borderId="10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/>
    </xf>
    <xf numFmtId="166" fontId="25" fillId="0" borderId="24" xfId="1" applyNumberFormat="1" applyFont="1" applyFill="1" applyBorder="1" applyAlignment="1">
      <alignment horizontal="center"/>
    </xf>
    <xf numFmtId="165" fontId="25" fillId="0" borderId="14" xfId="0" applyNumberFormat="1" applyFont="1" applyBorder="1" applyAlignment="1">
      <alignment horizontal="center"/>
    </xf>
    <xf numFmtId="165" fontId="7" fillId="0" borderId="9" xfId="0" applyNumberFormat="1" applyFont="1" applyBorder="1" applyAlignment="1">
      <alignment horizontal="right" vertical="center"/>
    </xf>
    <xf numFmtId="165" fontId="7" fillId="0" borderId="26" xfId="0" applyNumberFormat="1" applyFont="1" applyBorder="1" applyAlignment="1">
      <alignment horizontal="right" vertical="center"/>
    </xf>
    <xf numFmtId="166" fontId="5" fillId="0" borderId="8" xfId="1" applyNumberFormat="1" applyFont="1" applyFill="1" applyBorder="1" applyAlignment="1">
      <alignment horizontal="right" vertical="center"/>
    </xf>
    <xf numFmtId="166" fontId="25" fillId="0" borderId="24" xfId="1" applyNumberFormat="1" applyFont="1" applyFill="1" applyBorder="1" applyAlignment="1">
      <alignment horizontal="right" vertical="center"/>
    </xf>
    <xf numFmtId="165" fontId="25" fillId="0" borderId="14" xfId="0" applyNumberFormat="1" applyFont="1" applyBorder="1" applyAlignment="1">
      <alignment horizontal="right"/>
    </xf>
    <xf numFmtId="0" fontId="5" fillId="0" borderId="24" xfId="0" applyFont="1" applyBorder="1" applyAlignment="1">
      <alignment horizontal="left" indent="1"/>
    </xf>
    <xf numFmtId="166" fontId="5" fillId="0" borderId="34" xfId="1" applyNumberFormat="1" applyFont="1" applyFill="1" applyBorder="1" applyAlignment="1">
      <alignment horizontal="right" vertical="center"/>
    </xf>
    <xf numFmtId="166" fontId="7" fillId="0" borderId="8" xfId="1" applyNumberFormat="1" applyFont="1" applyFill="1" applyBorder="1" applyAlignment="1">
      <alignment horizontal="right" vertical="center"/>
    </xf>
    <xf numFmtId="164" fontId="4" fillId="0" borderId="33" xfId="0" applyNumberFormat="1" applyFont="1" applyBorder="1" applyAlignment="1">
      <alignment horizontal="center" vertical="center"/>
    </xf>
    <xf numFmtId="166" fontId="5" fillId="0" borderId="8" xfId="1" applyNumberFormat="1" applyFont="1" applyFill="1" applyBorder="1"/>
    <xf numFmtId="166" fontId="7" fillId="0" borderId="8" xfId="1" applyNumberFormat="1" applyFont="1" applyFill="1" applyBorder="1"/>
    <xf numFmtId="165" fontId="7" fillId="0" borderId="9" xfId="0" applyNumberFormat="1" applyFont="1" applyBorder="1"/>
    <xf numFmtId="0" fontId="9" fillId="0" borderId="11" xfId="0" applyFont="1" applyBorder="1" applyAlignment="1">
      <alignment horizontal="left" vertical="center" indent="2"/>
    </xf>
    <xf numFmtId="165" fontId="5" fillId="0" borderId="26" xfId="2" applyNumberFormat="1" applyFont="1" applyFill="1" applyBorder="1" applyAlignment="1">
      <alignment horizontal="center" vertical="center"/>
    </xf>
    <xf numFmtId="166" fontId="5" fillId="0" borderId="38" xfId="1" applyNumberFormat="1" applyFont="1" applyFill="1" applyBorder="1"/>
    <xf numFmtId="165" fontId="5" fillId="0" borderId="9" xfId="0" applyNumberFormat="1" applyFont="1" applyBorder="1" applyAlignment="1">
      <alignment horizontal="right"/>
    </xf>
    <xf numFmtId="166" fontId="5" fillId="0" borderId="8" xfId="1" applyNumberFormat="1" applyFont="1" applyFill="1" applyBorder="1" applyAlignment="1">
      <alignment horizontal="right"/>
    </xf>
    <xf numFmtId="165" fontId="5" fillId="0" borderId="9" xfId="0" applyNumberFormat="1" applyFont="1" applyBorder="1" applyAlignment="1">
      <alignment horizontal="center"/>
    </xf>
    <xf numFmtId="166" fontId="5" fillId="0" borderId="24" xfId="1" applyNumberFormat="1" applyFont="1" applyFill="1" applyBorder="1" applyAlignment="1">
      <alignment horizontal="center"/>
    </xf>
    <xf numFmtId="0" fontId="30" fillId="0" borderId="8" xfId="0" applyFont="1" applyBorder="1" applyAlignment="1">
      <alignment horizontal="left" vertical="center" wrapText="1" indent="1"/>
    </xf>
    <xf numFmtId="0" fontId="30" fillId="0" borderId="24" xfId="0" applyFont="1" applyBorder="1" applyAlignment="1">
      <alignment horizontal="left" vertical="center" wrapText="1" indent="1"/>
    </xf>
    <xf numFmtId="166" fontId="5" fillId="3" borderId="8" xfId="1" applyNumberFormat="1" applyFont="1" applyFill="1" applyBorder="1" applyAlignment="1">
      <alignment horizontal="right" vertical="center"/>
    </xf>
    <xf numFmtId="0" fontId="5" fillId="3" borderId="37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165" fontId="5" fillId="0" borderId="11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65" fontId="19" fillId="0" borderId="11" xfId="0" applyNumberFormat="1" applyFont="1" applyBorder="1" applyAlignment="1">
      <alignment horizontal="center" vertical="center"/>
    </xf>
    <xf numFmtId="165" fontId="19" fillId="0" borderId="1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2" fillId="6" borderId="2" xfId="0" applyNumberFormat="1" applyFont="1" applyFill="1" applyBorder="1" applyAlignment="1">
      <alignment horizontal="center" vertical="center"/>
    </xf>
    <xf numFmtId="165" fontId="2" fillId="6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/>
    </xf>
    <xf numFmtId="165" fontId="2" fillId="7" borderId="2" xfId="0" applyNumberFormat="1" applyFont="1" applyFill="1" applyBorder="1" applyAlignment="1">
      <alignment horizontal="center" vertical="center"/>
    </xf>
    <xf numFmtId="165" fontId="2" fillId="7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2" fillId="8" borderId="2" xfId="0" applyNumberFormat="1" applyFont="1" applyFill="1" applyBorder="1" applyAlignment="1">
      <alignment horizontal="center" vertical="center"/>
    </xf>
    <xf numFmtId="165" fontId="2" fillId="8" borderId="3" xfId="0" applyNumberFormat="1" applyFont="1" applyFill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/>
    </xf>
    <xf numFmtId="165" fontId="2" fillId="9" borderId="2" xfId="0" applyNumberFormat="1" applyFont="1" applyFill="1" applyBorder="1" applyAlignment="1">
      <alignment horizontal="center" vertical="center"/>
    </xf>
    <xf numFmtId="165" fontId="2" fillId="9" borderId="3" xfId="0" applyNumberFormat="1" applyFont="1" applyFill="1" applyBorder="1" applyAlignment="1">
      <alignment horizontal="center" vertical="center"/>
    </xf>
  </cellXfs>
  <cellStyles count="5">
    <cellStyle name="Milliers" xfId="1" builtinId="3"/>
    <cellStyle name="Milliers [0]" xfId="2" builtinId="6"/>
    <cellStyle name="Normal" xfId="0" builtinId="0"/>
    <cellStyle name="Normal 11" xfId="3" xr:uid="{3A9E0037-35B0-432F-8748-F3442CF89C87}"/>
    <cellStyle name="Normal 3" xfId="4" xr:uid="{0E17F7A0-E6AF-43EC-93C6-B394682F2EF0}"/>
  </cellStyles>
  <dxfs count="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4B5BB-1354-4434-86B2-67847EFBC346}">
  <sheetPr codeName="Feuil68">
    <pageSetUpPr fitToPage="1"/>
  </sheetPr>
  <dimension ref="A1:M103"/>
  <sheetViews>
    <sheetView topLeftCell="A10" zoomScaleNormal="100" zoomScaleSheetLayoutView="100" workbookViewId="0">
      <selection activeCell="B49" sqref="B49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06" customWidth="1"/>
    <col min="7" max="7" width="11.42578125" style="14"/>
    <col min="8" max="8" width="16.85546875" style="14" bestFit="1" customWidth="1"/>
    <col min="9" max="9" width="14.7109375" style="14" bestFit="1" customWidth="1"/>
    <col min="10" max="16384" width="11.42578125" style="14"/>
  </cols>
  <sheetData>
    <row r="1" spans="1:10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10" customFormat="1" ht="33.950000000000003" customHeight="1" thickTop="1" thickBot="1">
      <c r="A2" s="492" t="s">
        <v>1</v>
      </c>
      <c r="B2" s="493"/>
      <c r="C2" s="493"/>
      <c r="D2" s="493"/>
      <c r="E2" s="493"/>
      <c r="F2" s="494"/>
    </row>
    <row r="3" spans="1:10" customFormat="1" ht="33.950000000000003" customHeight="1" thickTop="1" thickBot="1">
      <c r="A3" s="492" t="s">
        <v>2</v>
      </c>
      <c r="B3" s="493"/>
      <c r="C3" s="493"/>
      <c r="D3" s="493"/>
      <c r="E3" s="493"/>
      <c r="F3" s="494"/>
    </row>
    <row r="4" spans="1:10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  <c r="G4" s="1"/>
      <c r="H4" s="1"/>
      <c r="I4" s="1"/>
      <c r="J4" s="1"/>
    </row>
    <row r="5" spans="1:10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10" ht="12.75" thickTop="1">
      <c r="A6" s="8"/>
      <c r="B6" s="9"/>
      <c r="C6" s="10"/>
      <c r="D6" s="11"/>
      <c r="E6" s="12"/>
      <c r="F6" s="13"/>
    </row>
    <row r="7" spans="1:10" s="21" customFormat="1" ht="20.100000000000001" customHeight="1">
      <c r="A7" s="15">
        <v>10.1</v>
      </c>
      <c r="B7" s="16" t="s">
        <v>10</v>
      </c>
      <c r="C7" s="17"/>
      <c r="D7" s="18"/>
      <c r="E7" s="19"/>
      <c r="F7" s="20"/>
    </row>
    <row r="8" spans="1:10" customFormat="1" ht="15">
      <c r="A8" s="22">
        <f>+A7+0.001</f>
        <v>10.100999999999999</v>
      </c>
      <c r="B8" s="23" t="s">
        <v>11</v>
      </c>
      <c r="C8" s="24" t="s">
        <v>12</v>
      </c>
      <c r="D8" s="25">
        <v>1</v>
      </c>
      <c r="E8" s="481" t="s">
        <v>13</v>
      </c>
      <c r="F8" s="482"/>
    </row>
    <row r="9" spans="1:10" customFormat="1" ht="24">
      <c r="A9" s="22">
        <f>+A8+0.001</f>
        <v>10.101999999999999</v>
      </c>
      <c r="B9" s="23" t="s">
        <v>14</v>
      </c>
      <c r="C9" s="24" t="s">
        <v>12</v>
      </c>
      <c r="D9" s="25">
        <v>1</v>
      </c>
      <c r="E9" s="481" t="s">
        <v>15</v>
      </c>
      <c r="F9" s="482"/>
    </row>
    <row r="10" spans="1:10" customFormat="1" ht="15">
      <c r="A10" s="22">
        <f>+A9+0.001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10" s="33" customFormat="1" ht="15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10">
      <c r="A12" s="34"/>
      <c r="B12" s="35"/>
      <c r="C12" s="36"/>
      <c r="D12" s="37"/>
      <c r="E12" s="29"/>
      <c r="F12" s="38"/>
    </row>
    <row r="13" spans="1:10" customFormat="1" ht="12" customHeight="1">
      <c r="A13" s="39"/>
      <c r="B13" s="40" t="s">
        <v>18</v>
      </c>
      <c r="C13" s="41"/>
      <c r="D13" s="25"/>
      <c r="E13" s="42"/>
      <c r="F13" s="43"/>
    </row>
    <row r="14" spans="1:10" customFormat="1" ht="12" customHeight="1">
      <c r="A14" s="39"/>
      <c r="B14" s="40" t="s">
        <v>19</v>
      </c>
      <c r="C14" s="41"/>
      <c r="D14" s="25"/>
      <c r="E14" s="42"/>
      <c r="F14" s="43"/>
    </row>
    <row r="15" spans="1:10" customFormat="1" ht="12" customHeight="1">
      <c r="A15" s="39"/>
      <c r="B15" s="40" t="s">
        <v>20</v>
      </c>
      <c r="C15" s="41"/>
      <c r="D15" s="25"/>
      <c r="E15" s="42"/>
      <c r="F15" s="43"/>
    </row>
    <row r="16" spans="1:10" customFormat="1" ht="12" customHeight="1">
      <c r="A16" s="39"/>
      <c r="B16" s="40" t="s">
        <v>21</v>
      </c>
      <c r="C16" s="44"/>
      <c r="D16" s="32"/>
      <c r="E16" s="29"/>
      <c r="F16" s="26"/>
    </row>
    <row r="17" spans="1:9" customFormat="1" ht="12" customHeight="1">
      <c r="A17" s="39"/>
      <c r="B17" s="40" t="s">
        <v>22</v>
      </c>
      <c r="C17" s="41"/>
      <c r="D17" s="25"/>
      <c r="E17" s="42"/>
      <c r="F17" s="43"/>
    </row>
    <row r="18" spans="1:9" customFormat="1" ht="12" customHeight="1">
      <c r="A18" s="39"/>
      <c r="B18" s="40" t="s">
        <v>23</v>
      </c>
      <c r="C18" s="41"/>
      <c r="D18" s="25"/>
      <c r="E18" s="42"/>
      <c r="F18" s="43"/>
    </row>
    <row r="19" spans="1:9" customFormat="1" ht="12" customHeight="1">
      <c r="A19" s="39"/>
      <c r="B19" s="40" t="s">
        <v>24</v>
      </c>
      <c r="C19" s="41"/>
      <c r="D19" s="25"/>
      <c r="E19" s="42"/>
      <c r="F19" s="43"/>
    </row>
    <row r="20" spans="1:9" customFormat="1" ht="12" customHeight="1">
      <c r="A20" s="39"/>
      <c r="B20" s="40" t="s">
        <v>25</v>
      </c>
      <c r="C20" s="41"/>
      <c r="D20" s="25"/>
      <c r="E20" s="42"/>
      <c r="F20" s="43"/>
    </row>
    <row r="21" spans="1:9" customFormat="1" ht="12" customHeight="1">
      <c r="A21" s="39"/>
      <c r="B21" s="40" t="s">
        <v>26</v>
      </c>
      <c r="C21" s="41"/>
      <c r="D21" s="25"/>
      <c r="E21" s="42"/>
      <c r="F21" s="43"/>
    </row>
    <row r="22" spans="1:9" customFormat="1" ht="12" customHeight="1">
      <c r="A22" s="39"/>
      <c r="B22" s="40" t="s">
        <v>27</v>
      </c>
      <c r="C22" s="41"/>
      <c r="D22" s="25"/>
      <c r="E22" s="42"/>
      <c r="F22" s="43"/>
    </row>
    <row r="23" spans="1:9" customFormat="1" ht="12" customHeight="1">
      <c r="A23" s="39"/>
      <c r="B23" s="40" t="s">
        <v>28</v>
      </c>
      <c r="C23" s="41"/>
      <c r="D23" s="25"/>
      <c r="E23" s="42"/>
      <c r="F23" s="43"/>
    </row>
    <row r="24" spans="1:9" customFormat="1" ht="12" customHeight="1">
      <c r="A24" s="39"/>
      <c r="B24" s="40" t="s">
        <v>29</v>
      </c>
      <c r="C24" s="41"/>
      <c r="D24" s="25"/>
      <c r="E24" s="42"/>
      <c r="F24" s="43"/>
    </row>
    <row r="25" spans="1:9" customFormat="1" ht="12" customHeight="1">
      <c r="A25" s="39"/>
      <c r="B25" s="40" t="s">
        <v>30</v>
      </c>
      <c r="C25" s="41"/>
      <c r="D25" s="25"/>
      <c r="E25" s="42"/>
      <c r="F25" s="43"/>
    </row>
    <row r="26" spans="1:9" customFormat="1" ht="12" customHeight="1">
      <c r="A26" s="39"/>
      <c r="B26" s="40" t="s">
        <v>31</v>
      </c>
      <c r="C26" s="41"/>
      <c r="D26" s="25"/>
      <c r="E26" s="42"/>
      <c r="F26" s="43"/>
    </row>
    <row r="27" spans="1:9" customFormat="1" ht="12" customHeight="1">
      <c r="A27" s="39"/>
      <c r="B27" s="40" t="s">
        <v>32</v>
      </c>
      <c r="C27" s="41"/>
      <c r="D27" s="25"/>
      <c r="E27" s="42"/>
      <c r="F27" s="43"/>
      <c r="H27" t="s">
        <v>33</v>
      </c>
    </row>
    <row r="28" spans="1:9" customFormat="1" ht="12" customHeight="1">
      <c r="A28" s="39"/>
      <c r="B28" s="40" t="s">
        <v>34</v>
      </c>
      <c r="C28" s="41"/>
      <c r="D28" s="25"/>
      <c r="E28" s="42"/>
      <c r="F28" s="43"/>
    </row>
    <row r="29" spans="1:9" customFormat="1" ht="12" customHeight="1">
      <c r="A29" s="39"/>
      <c r="B29" s="40" t="s">
        <v>35</v>
      </c>
      <c r="C29" s="41"/>
      <c r="D29" s="25"/>
      <c r="E29" s="42"/>
      <c r="F29" s="43"/>
    </row>
    <row r="30" spans="1:9" customFormat="1" ht="12" customHeight="1">
      <c r="A30" s="39"/>
      <c r="B30" s="40" t="s">
        <v>36</v>
      </c>
      <c r="C30" s="41"/>
      <c r="D30" s="25"/>
      <c r="E30" s="42"/>
      <c r="F30" s="43"/>
    </row>
    <row r="31" spans="1:9" customFormat="1" ht="12" customHeight="1" thickBot="1">
      <c r="A31" s="39"/>
      <c r="B31" s="45"/>
      <c r="C31" s="46"/>
      <c r="D31" s="47"/>
      <c r="E31" s="48"/>
      <c r="F31" s="49"/>
    </row>
    <row r="32" spans="1:9" ht="27" customHeight="1" thickTop="1" thickBot="1">
      <c r="A32" s="22"/>
      <c r="B32" s="50"/>
      <c r="C32" s="474" t="s">
        <v>10</v>
      </c>
      <c r="D32" s="475"/>
      <c r="E32" s="476"/>
      <c r="F32" s="51"/>
      <c r="I32" s="14" t="s">
        <v>33</v>
      </c>
    </row>
    <row r="33" spans="1:9" s="1" customFormat="1" ht="16.5" thickTop="1" thickBot="1">
      <c r="A33" s="39"/>
      <c r="B33" s="52"/>
      <c r="C33" s="44"/>
      <c r="D33" s="53"/>
      <c r="E33" s="54"/>
      <c r="F33" s="55"/>
    </row>
    <row r="34" spans="1:9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9" s="1" customFormat="1" ht="15">
      <c r="A35" s="39"/>
      <c r="B35" s="484"/>
      <c r="C35" s="44"/>
      <c r="D35" s="32"/>
      <c r="E35" s="29"/>
      <c r="F35" s="26"/>
    </row>
    <row r="36" spans="1:9" s="1" customFormat="1" ht="15">
      <c r="A36" s="39"/>
      <c r="B36" s="484"/>
      <c r="C36" s="44"/>
      <c r="D36" s="32"/>
      <c r="E36" s="29"/>
      <c r="F36" s="26"/>
    </row>
    <row r="37" spans="1:9" s="1" customFormat="1" ht="15" customHeight="1">
      <c r="A37" s="39" t="s">
        <v>33</v>
      </c>
      <c r="B37" s="484"/>
      <c r="C37" s="44"/>
      <c r="D37" s="32"/>
      <c r="E37" s="29"/>
      <c r="F37" s="26"/>
    </row>
    <row r="38" spans="1:9" s="1" customFormat="1" ht="15.75" thickBot="1">
      <c r="A38" s="39"/>
      <c r="B38" s="485"/>
      <c r="C38" s="44"/>
      <c r="D38" s="32"/>
      <c r="E38" s="29"/>
      <c r="F38" s="26"/>
    </row>
    <row r="39" spans="1:9" s="1" customFormat="1" ht="15.75" thickTop="1">
      <c r="A39" s="39"/>
      <c r="B39" s="56"/>
      <c r="C39" s="44"/>
      <c r="D39" s="32"/>
      <c r="E39" s="57"/>
      <c r="F39" s="30"/>
    </row>
    <row r="40" spans="1:9" s="21" customFormat="1" ht="20.100000000000001" customHeight="1">
      <c r="A40" s="15">
        <f>A7+0.1</f>
        <v>10.199999999999999</v>
      </c>
      <c r="B40" s="58" t="s">
        <v>38</v>
      </c>
      <c r="C40" s="17"/>
      <c r="D40" s="18"/>
      <c r="E40" s="59"/>
      <c r="F40" s="60"/>
    </row>
    <row r="41" spans="1:9">
      <c r="A41" s="22">
        <f>A40+0.001</f>
        <v>10.200999999999999</v>
      </c>
      <c r="B41" s="61" t="s">
        <v>39</v>
      </c>
      <c r="C41" s="24"/>
      <c r="D41" s="32"/>
      <c r="E41" s="62"/>
      <c r="F41" s="30"/>
    </row>
    <row r="42" spans="1:9" s="64" customFormat="1" ht="12" customHeight="1">
      <c r="A42" s="39"/>
      <c r="B42" s="63" t="s">
        <v>40</v>
      </c>
      <c r="C42" s="24" t="s">
        <v>41</v>
      </c>
      <c r="D42" s="32">
        <v>101.22</v>
      </c>
      <c r="E42" s="29"/>
      <c r="F42" s="30"/>
      <c r="H42" s="65"/>
      <c r="I42" s="1"/>
    </row>
    <row r="43" spans="1:9" s="64" customFormat="1" ht="12" customHeight="1" thickBot="1">
      <c r="A43" s="39" t="s">
        <v>33</v>
      </c>
      <c r="B43" s="66"/>
      <c r="C43" s="24"/>
      <c r="D43" s="32"/>
      <c r="E43" s="57"/>
      <c r="F43" s="30"/>
    </row>
    <row r="44" spans="1:9" ht="27" customHeight="1" thickTop="1" thickBot="1">
      <c r="A44" s="22"/>
      <c r="B44" s="67"/>
      <c r="C44" s="474" t="str">
        <f>+B40</f>
        <v>DEMOLITION - DEPOSE</v>
      </c>
      <c r="D44" s="475"/>
      <c r="E44" s="476"/>
      <c r="F44" s="51"/>
    </row>
    <row r="45" spans="1:9" ht="12.75" thickTop="1">
      <c r="A45" s="22"/>
      <c r="B45" s="68"/>
      <c r="C45" s="24"/>
      <c r="D45" s="32"/>
      <c r="E45" s="62"/>
      <c r="F45" s="30"/>
    </row>
    <row r="46" spans="1:9" s="21" customFormat="1" ht="20.100000000000001" customHeight="1">
      <c r="A46" s="15">
        <f>A40+0.1</f>
        <v>10.299999999999999</v>
      </c>
      <c r="B46" s="58" t="s">
        <v>42</v>
      </c>
      <c r="C46" s="17"/>
      <c r="D46" s="18"/>
      <c r="E46" s="59"/>
      <c r="F46" s="60"/>
    </row>
    <row r="47" spans="1:9">
      <c r="A47" s="22">
        <f>A46+0.001</f>
        <v>10.300999999999998</v>
      </c>
      <c r="B47" s="61" t="s">
        <v>43</v>
      </c>
      <c r="C47" s="69"/>
      <c r="D47" s="32"/>
      <c r="E47" s="70"/>
      <c r="F47" s="71"/>
    </row>
    <row r="48" spans="1:9" s="64" customFormat="1" ht="12" customHeight="1">
      <c r="A48" s="72"/>
      <c r="B48" s="63" t="s">
        <v>44</v>
      </c>
      <c r="C48" s="73" t="s">
        <v>41</v>
      </c>
      <c r="D48" s="32">
        <f>(21.96*2.7)-((4*0.9*2.1)++(2*1*2.1)+(1.5*2.1)+(0.9*2.25))</f>
        <v>42.357000000000006</v>
      </c>
      <c r="E48" s="29"/>
      <c r="F48" s="30"/>
    </row>
    <row r="49" spans="1:13" s="64" customFormat="1" ht="12" customHeight="1">
      <c r="A49" s="72"/>
      <c r="B49" s="63" t="s">
        <v>45</v>
      </c>
      <c r="C49" s="73" t="s">
        <v>41</v>
      </c>
      <c r="D49" s="32">
        <f>(20.07*2.7)-((1*2.1)+(3*1.5*1.7))</f>
        <v>44.439000000000007</v>
      </c>
      <c r="E49" s="29"/>
      <c r="F49" s="30"/>
    </row>
    <row r="50" spans="1:13" s="64" customFormat="1" ht="12" customHeight="1">
      <c r="A50" s="72"/>
      <c r="B50" s="63" t="s">
        <v>46</v>
      </c>
      <c r="C50" s="73" t="s">
        <v>41</v>
      </c>
      <c r="D50" s="32">
        <f>(15.12*2.7)-((0.9*2.1)+(2*1.5*1.7))</f>
        <v>33.833999999999996</v>
      </c>
      <c r="E50" s="29"/>
      <c r="F50" s="30"/>
    </row>
    <row r="51" spans="1:13" s="64" customFormat="1" ht="12" customHeight="1">
      <c r="A51" s="72"/>
      <c r="B51" s="63" t="s">
        <v>47</v>
      </c>
      <c r="C51" s="73" t="s">
        <v>41</v>
      </c>
      <c r="D51" s="32">
        <f>(12.4*2.7)-((1*2.1)+(1.5*1.7))</f>
        <v>28.830000000000005</v>
      </c>
      <c r="E51" s="29"/>
      <c r="F51" s="30"/>
    </row>
    <row r="52" spans="1:13" s="64" customFormat="1" ht="12" customHeight="1" thickBot="1">
      <c r="A52" s="74"/>
      <c r="B52" s="75" t="s">
        <v>48</v>
      </c>
      <c r="C52" s="76" t="s">
        <v>41</v>
      </c>
      <c r="D52" s="77">
        <f>(11.48*2.7)-((0.9*2.1))</f>
        <v>29.106000000000002</v>
      </c>
      <c r="E52" s="78"/>
      <c r="F52" s="79"/>
    </row>
    <row r="53" spans="1:13" s="64" customFormat="1" ht="12" customHeight="1" thickTop="1">
      <c r="A53" s="80"/>
      <c r="B53" s="81" t="s">
        <v>49</v>
      </c>
      <c r="C53" s="82" t="s">
        <v>41</v>
      </c>
      <c r="D53" s="11">
        <f>(12.54*2.7)-((0.9*2.1)+(0.6*0.6))</f>
        <v>31.607999999999997</v>
      </c>
      <c r="E53" s="12"/>
      <c r="F53" s="13"/>
    </row>
    <row r="54" spans="1:13" s="64" customFormat="1" ht="12" customHeight="1">
      <c r="A54" s="72"/>
      <c r="B54" s="63" t="s">
        <v>50</v>
      </c>
      <c r="C54" s="73" t="s">
        <v>41</v>
      </c>
      <c r="D54" s="32">
        <f>(19.26*2.7)-((0.9*2.1)+(2*1.5*1.7))</f>
        <v>45.012000000000008</v>
      </c>
      <c r="E54" s="29"/>
      <c r="F54" s="30"/>
    </row>
    <row r="55" spans="1:13" s="64" customFormat="1" ht="12" customHeight="1">
      <c r="A55" s="72"/>
      <c r="B55" s="63" t="s">
        <v>51</v>
      </c>
      <c r="C55" s="73" t="s">
        <v>41</v>
      </c>
      <c r="D55" s="32">
        <f>(5.04*2.7)-((1.5*2.1))</f>
        <v>10.458</v>
      </c>
      <c r="E55" s="29"/>
      <c r="F55" s="30"/>
    </row>
    <row r="56" spans="1:13" s="64" customFormat="1" ht="12" customHeight="1" thickBot="1">
      <c r="A56" s="39" t="s">
        <v>33</v>
      </c>
      <c r="B56" s="66"/>
      <c r="C56" s="83"/>
      <c r="D56" s="77"/>
      <c r="E56" s="84"/>
      <c r="F56" s="79"/>
    </row>
    <row r="57" spans="1:13" ht="27" customHeight="1" thickTop="1" thickBot="1">
      <c r="A57" s="22"/>
      <c r="B57" s="66"/>
      <c r="C57" s="486" t="s">
        <v>52</v>
      </c>
      <c r="D57" s="487"/>
      <c r="E57" s="488"/>
      <c r="F57" s="85"/>
    </row>
    <row r="58" spans="1:13" ht="12.75" thickTop="1">
      <c r="A58" s="22"/>
      <c r="B58" s="66"/>
      <c r="C58" s="24"/>
      <c r="D58" s="86"/>
      <c r="E58" s="87"/>
      <c r="F58" s="30"/>
    </row>
    <row r="59" spans="1:13" s="89" customFormat="1" ht="20.100000000000001" customHeight="1">
      <c r="A59" s="15">
        <f>A46+0.1</f>
        <v>10.399999999999999</v>
      </c>
      <c r="B59" s="58" t="s">
        <v>53</v>
      </c>
      <c r="C59" s="17"/>
      <c r="D59" s="18"/>
      <c r="E59" s="88"/>
      <c r="F59" s="60"/>
    </row>
    <row r="60" spans="1:13" s="89" customFormat="1" ht="13.5" customHeight="1">
      <c r="A60" s="15"/>
      <c r="B60" s="61" t="s">
        <v>54</v>
      </c>
      <c r="C60" s="24"/>
      <c r="D60" s="32"/>
      <c r="E60" s="88"/>
      <c r="F60" s="30"/>
      <c r="H60" s="1"/>
      <c r="I60" s="1"/>
      <c r="J60" s="1"/>
      <c r="K60" s="1"/>
      <c r="L60" s="1"/>
      <c r="M60" s="1"/>
    </row>
    <row r="61" spans="1:13" s="89" customFormat="1" ht="15" customHeight="1">
      <c r="A61" s="15"/>
      <c r="B61" s="63" t="s">
        <v>55</v>
      </c>
      <c r="C61" s="24" t="s">
        <v>41</v>
      </c>
      <c r="D61" s="32">
        <v>0.85</v>
      </c>
      <c r="E61" s="29"/>
      <c r="F61" s="30"/>
      <c r="H61" s="1"/>
      <c r="I61" s="1"/>
      <c r="J61" s="1"/>
      <c r="K61" s="1"/>
      <c r="L61" s="1"/>
      <c r="M61" s="1"/>
    </row>
    <row r="62" spans="1:13" s="89" customFormat="1" ht="12.75" customHeight="1">
      <c r="A62" s="15"/>
      <c r="B62" s="66"/>
      <c r="C62" s="24"/>
      <c r="D62" s="32"/>
      <c r="E62" s="88"/>
      <c r="F62" s="30"/>
    </row>
    <row r="63" spans="1:13" s="46" customFormat="1" ht="24">
      <c r="A63" s="22"/>
      <c r="B63" s="61" t="s">
        <v>56</v>
      </c>
      <c r="C63" s="24"/>
      <c r="D63" s="32"/>
      <c r="E63" s="88"/>
      <c r="F63" s="30"/>
      <c r="H63" s="1"/>
      <c r="I63" s="1"/>
      <c r="J63" s="1"/>
      <c r="K63" s="1"/>
      <c r="L63" s="1"/>
      <c r="M63" s="1"/>
    </row>
    <row r="64" spans="1:13" s="64" customFormat="1" ht="12" customHeight="1">
      <c r="A64" s="39"/>
      <c r="B64" s="63" t="s">
        <v>57</v>
      </c>
      <c r="C64" s="24" t="s">
        <v>41</v>
      </c>
      <c r="D64" s="32">
        <v>8.2100000000000009</v>
      </c>
      <c r="E64" s="29"/>
      <c r="F64" s="30"/>
      <c r="H64" s="1"/>
      <c r="I64" s="1"/>
      <c r="J64" s="1"/>
      <c r="K64" s="1"/>
      <c r="L64" s="1"/>
      <c r="M64" s="1"/>
    </row>
    <row r="65" spans="1:11" s="64" customFormat="1" ht="12" customHeight="1">
      <c r="A65" s="39"/>
      <c r="B65" s="66"/>
      <c r="C65" s="24"/>
      <c r="D65" s="32"/>
      <c r="E65" s="88"/>
      <c r="F65" s="30"/>
    </row>
    <row r="66" spans="1:11" s="46" customFormat="1" ht="12.75">
      <c r="A66" s="22"/>
      <c r="B66" s="61" t="s">
        <v>58</v>
      </c>
      <c r="C66" s="24"/>
      <c r="D66" s="32"/>
      <c r="E66" s="88"/>
      <c r="F66" s="30"/>
    </row>
    <row r="67" spans="1:11" s="64" customFormat="1" ht="12" customHeight="1">
      <c r="A67" s="39"/>
      <c r="B67" s="63" t="s">
        <v>44</v>
      </c>
      <c r="C67" s="24" t="s">
        <v>41</v>
      </c>
      <c r="D67" s="32">
        <v>17.2</v>
      </c>
      <c r="E67" s="29"/>
      <c r="F67" s="30"/>
    </row>
    <row r="68" spans="1:11" s="64" customFormat="1" ht="12" customHeight="1">
      <c r="A68" s="39"/>
      <c r="B68" s="63" t="s">
        <v>45</v>
      </c>
      <c r="C68" s="24" t="s">
        <v>41</v>
      </c>
      <c r="D68" s="32">
        <v>23.37</v>
      </c>
      <c r="E68" s="29"/>
      <c r="F68" s="30"/>
      <c r="G68" s="1"/>
    </row>
    <row r="69" spans="1:11" s="46" customFormat="1">
      <c r="A69" s="39"/>
      <c r="B69" s="63" t="s">
        <v>46</v>
      </c>
      <c r="C69" s="24" t="s">
        <v>41</v>
      </c>
      <c r="D69" s="32">
        <v>12.2</v>
      </c>
      <c r="E69" s="29"/>
      <c r="F69" s="30"/>
    </row>
    <row r="70" spans="1:11" s="64" customFormat="1" ht="12" customHeight="1">
      <c r="A70" s="39"/>
      <c r="B70" s="63" t="s">
        <v>50</v>
      </c>
      <c r="C70" s="24" t="s">
        <v>41</v>
      </c>
      <c r="D70" s="32">
        <v>22.11</v>
      </c>
      <c r="E70" s="29"/>
      <c r="F70" s="30"/>
      <c r="G70" s="1"/>
    </row>
    <row r="71" spans="1:11" s="64" customFormat="1" ht="12" customHeight="1">
      <c r="A71" s="39"/>
      <c r="B71" s="63" t="s">
        <v>47</v>
      </c>
      <c r="C71" s="24" t="s">
        <v>41</v>
      </c>
      <c r="D71" s="32">
        <v>9.2799999999999994</v>
      </c>
      <c r="E71" s="29"/>
      <c r="F71" s="30"/>
      <c r="G71" s="1"/>
    </row>
    <row r="72" spans="1:11" s="46" customFormat="1">
      <c r="A72" s="39"/>
      <c r="B72" s="63" t="s">
        <v>48</v>
      </c>
      <c r="C72" s="24" t="s">
        <v>41</v>
      </c>
      <c r="D72" s="32">
        <v>8</v>
      </c>
      <c r="E72" s="29"/>
      <c r="F72" s="30"/>
    </row>
    <row r="73" spans="1:11" s="46" customFormat="1" ht="12.75" thickBot="1">
      <c r="A73" s="39"/>
      <c r="B73" s="66"/>
      <c r="C73" s="24"/>
      <c r="D73" s="32"/>
      <c r="E73" s="57"/>
      <c r="F73" s="30"/>
    </row>
    <row r="74" spans="1:11" s="91" customFormat="1" ht="27" customHeight="1" thickTop="1" thickBot="1">
      <c r="A74" s="90"/>
      <c r="B74" s="63" t="s">
        <v>33</v>
      </c>
      <c r="C74" s="474" t="str">
        <f>+B59</f>
        <v>FAUX PLAFOND</v>
      </c>
      <c r="D74" s="475"/>
      <c r="E74" s="476"/>
      <c r="F74" s="51"/>
    </row>
    <row r="75" spans="1:11" customFormat="1" ht="15.75" thickTop="1">
      <c r="A75" s="90"/>
      <c r="B75" s="63"/>
      <c r="C75" s="69"/>
      <c r="D75" s="32"/>
      <c r="E75" s="92"/>
      <c r="F75" s="30"/>
    </row>
    <row r="76" spans="1:11" s="64" customFormat="1" ht="12" customHeight="1">
      <c r="A76" s="15">
        <v>10.5</v>
      </c>
      <c r="B76" s="58" t="s">
        <v>59</v>
      </c>
      <c r="C76" s="93"/>
      <c r="D76" s="18"/>
      <c r="E76" s="94"/>
      <c r="F76" s="95"/>
    </row>
    <row r="77" spans="1:11" s="64" customFormat="1" ht="12" customHeight="1">
      <c r="A77" s="22">
        <v>10.502000000000001</v>
      </c>
      <c r="B77" s="61" t="s">
        <v>60</v>
      </c>
      <c r="C77" s="44"/>
      <c r="D77" s="32"/>
      <c r="E77" s="96"/>
      <c r="F77" s="97"/>
      <c r="K77" s="98"/>
    </row>
    <row r="78" spans="1:11" s="46" customFormat="1">
      <c r="A78" s="39"/>
      <c r="B78" s="63" t="s">
        <v>47</v>
      </c>
      <c r="C78" s="24" t="s">
        <v>61</v>
      </c>
      <c r="D78" s="32">
        <v>5.4</v>
      </c>
      <c r="E78" s="29"/>
      <c r="F78" s="26" t="s">
        <v>62</v>
      </c>
    </row>
    <row r="79" spans="1:11" s="46" customFormat="1" ht="12.75" thickBot="1">
      <c r="A79" s="39" t="s">
        <v>33</v>
      </c>
      <c r="B79" s="66"/>
      <c r="C79" s="24"/>
      <c r="D79" s="32"/>
      <c r="E79" s="57"/>
      <c r="F79" s="30"/>
    </row>
    <row r="80" spans="1:11" s="46" customFormat="1" ht="30" customHeight="1" thickTop="1" thickBot="1">
      <c r="A80" s="90"/>
      <c r="B80" s="81"/>
      <c r="C80" s="474" t="str">
        <f>+B76</f>
        <v>CLOISON</v>
      </c>
      <c r="D80" s="475"/>
      <c r="E80" s="476"/>
      <c r="F80" s="99" t="str">
        <f>+F78</f>
        <v>PM</v>
      </c>
    </row>
    <row r="81" spans="1:9" ht="13.5" thickTop="1" thickBot="1">
      <c r="A81" s="90"/>
      <c r="B81" s="81"/>
      <c r="C81" s="69"/>
      <c r="D81" s="32"/>
      <c r="E81" s="100"/>
      <c r="F81" s="101"/>
    </row>
    <row r="82" spans="1:9" ht="30" customHeight="1" thickTop="1" thickBot="1">
      <c r="A82" s="477" t="s">
        <v>63</v>
      </c>
      <c r="B82" s="478"/>
      <c r="C82" s="478"/>
      <c r="D82" s="478"/>
      <c r="E82" s="479"/>
      <c r="F82" s="102"/>
    </row>
    <row r="83" spans="1:9" ht="12.75" thickTop="1"/>
    <row r="85" spans="1:9">
      <c r="A85" s="107" t="s">
        <v>64</v>
      </c>
    </row>
    <row r="86" spans="1:9" ht="15">
      <c r="H86" s="108"/>
      <c r="I86" s="109"/>
    </row>
    <row r="87" spans="1:9" ht="15">
      <c r="D87" s="480"/>
      <c r="E87" s="480"/>
      <c r="F87" s="110"/>
      <c r="H87" s="111"/>
      <c r="I87" s="112"/>
    </row>
    <row r="88" spans="1:9" ht="15">
      <c r="D88" s="111"/>
      <c r="E88" s="113"/>
      <c r="F88" s="112"/>
      <c r="H88" s="111"/>
      <c r="I88" s="112"/>
    </row>
    <row r="89" spans="1:9">
      <c r="H89" s="105"/>
      <c r="I89" s="106"/>
    </row>
    <row r="103" spans="11:11">
      <c r="K103" s="14" t="s">
        <v>33</v>
      </c>
    </row>
  </sheetData>
  <mergeCells count="15">
    <mergeCell ref="E9:F9"/>
    <mergeCell ref="A1:F1"/>
    <mergeCell ref="A2:F2"/>
    <mergeCell ref="A3:F3"/>
    <mergeCell ref="A4:F4"/>
    <mergeCell ref="E8:F8"/>
    <mergeCell ref="C80:E80"/>
    <mergeCell ref="A82:E82"/>
    <mergeCell ref="D87:E87"/>
    <mergeCell ref="E11:F11"/>
    <mergeCell ref="C32:E32"/>
    <mergeCell ref="B34:B38"/>
    <mergeCell ref="C44:E44"/>
    <mergeCell ref="C57:E57"/>
    <mergeCell ref="C74:E74"/>
  </mergeCells>
  <conditionalFormatting sqref="E10">
    <cfRule type="cellIs" dxfId="88" priority="5" operator="equal">
      <formula>0</formula>
    </cfRule>
  </conditionalFormatting>
  <conditionalFormatting sqref="E42">
    <cfRule type="cellIs" dxfId="87" priority="4" operator="equal">
      <formula>0</formula>
    </cfRule>
  </conditionalFormatting>
  <conditionalFormatting sqref="E48:E55">
    <cfRule type="cellIs" dxfId="86" priority="3" operator="equal">
      <formula>0</formula>
    </cfRule>
  </conditionalFormatting>
  <conditionalFormatting sqref="E61 E64 E67:E72">
    <cfRule type="cellIs" dxfId="85" priority="2" operator="equal">
      <formula>0</formula>
    </cfRule>
  </conditionalFormatting>
  <conditionalFormatting sqref="E78">
    <cfRule type="cellIs" dxfId="84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2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3A7B5-025B-4D9F-837F-5CFE375CDB70}">
  <sheetPr codeName="Feuil77">
    <pageSetUpPr fitToPage="1"/>
  </sheetPr>
  <dimension ref="A1:F176"/>
  <sheetViews>
    <sheetView topLeftCell="A22" zoomScaleNormal="100" zoomScaleSheetLayoutView="115" workbookViewId="0">
      <selection activeCell="L44" sqref="L44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399" customWidth="1"/>
    <col min="6" max="6" width="17.7109375" style="106" customWidth="1"/>
    <col min="7" max="16384" width="11.42578125" style="14"/>
  </cols>
  <sheetData>
    <row r="1" spans="1:6" s="382" customFormat="1" ht="33.950000000000003" customHeight="1" thickTop="1" thickBot="1">
      <c r="A1" s="489" t="s">
        <v>444</v>
      </c>
      <c r="B1" s="490"/>
      <c r="C1" s="490"/>
      <c r="D1" s="490"/>
      <c r="E1" s="490"/>
      <c r="F1" s="491"/>
    </row>
    <row r="2" spans="1:6" customFormat="1" ht="33.950000000000003" customHeight="1" thickTop="1" thickBot="1">
      <c r="A2" s="492" t="s">
        <v>445</v>
      </c>
      <c r="B2" s="493"/>
      <c r="C2" s="493"/>
      <c r="D2" s="493"/>
      <c r="E2" s="493"/>
      <c r="F2" s="494"/>
    </row>
    <row r="3" spans="1:6" customFormat="1" ht="33.950000000000003" customHeight="1" thickTop="1" thickBot="1">
      <c r="A3" s="489" t="s">
        <v>446</v>
      </c>
      <c r="B3" s="490"/>
      <c r="C3" s="490"/>
      <c r="D3" s="490"/>
      <c r="E3" s="490"/>
      <c r="F3" s="491"/>
    </row>
    <row r="4" spans="1:6" customFormat="1" ht="33.950000000000003" customHeight="1" thickTop="1" thickBot="1">
      <c r="A4" s="543" t="s">
        <v>458</v>
      </c>
      <c r="B4" s="544"/>
      <c r="C4" s="544"/>
      <c r="D4" s="544"/>
      <c r="E4" s="544"/>
      <c r="F4" s="545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383"/>
      <c r="E6" s="384"/>
      <c r="F6" s="13"/>
    </row>
    <row r="7" spans="1:6" s="89" customFormat="1" ht="20.100000000000001" customHeight="1">
      <c r="A7" s="15">
        <v>10.1</v>
      </c>
      <c r="B7" s="385" t="s">
        <v>10</v>
      </c>
      <c r="C7" s="93"/>
      <c r="D7" s="386"/>
      <c r="E7" s="387"/>
      <c r="F7" s="388"/>
    </row>
    <row r="8" spans="1:6" customFormat="1" ht="12" customHeight="1">
      <c r="A8" s="22">
        <f>+A7+0.001</f>
        <v>10.100999999999999</v>
      </c>
      <c r="B8" s="23" t="s">
        <v>11</v>
      </c>
      <c r="C8" s="24" t="s">
        <v>12</v>
      </c>
      <c r="D8" s="25">
        <v>1</v>
      </c>
      <c r="E8" s="534" t="s">
        <v>15</v>
      </c>
      <c r="F8" s="535"/>
    </row>
    <row r="9" spans="1:6" customFormat="1" ht="24">
      <c r="A9" s="22">
        <f>+A8+0.001</f>
        <v>10.101999999999999</v>
      </c>
      <c r="B9" s="23" t="s">
        <v>14</v>
      </c>
      <c r="C9" s="24" t="s">
        <v>12</v>
      </c>
      <c r="D9" s="25">
        <v>1</v>
      </c>
      <c r="E9" s="534" t="s">
        <v>67</v>
      </c>
      <c r="F9" s="535"/>
    </row>
    <row r="10" spans="1:6" customFormat="1" ht="12" customHeight="1">
      <c r="A10" s="22">
        <f>+A9+0.001</f>
        <v>10.102999999999998</v>
      </c>
      <c r="B10" s="31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customFormat="1" ht="12" customHeight="1">
      <c r="A12" s="22"/>
      <c r="B12" s="27"/>
      <c r="C12" s="310"/>
      <c r="D12" s="389"/>
      <c r="E12" s="42"/>
      <c r="F12" s="359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19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25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28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30</v>
      </c>
      <c r="C25" s="41"/>
      <c r="D25" s="25"/>
      <c r="E25" s="42"/>
      <c r="F25" s="43"/>
    </row>
    <row r="26" spans="1:6" customFormat="1" ht="12" customHeight="1">
      <c r="A26" s="39"/>
      <c r="B26" s="40" t="s">
        <v>31</v>
      </c>
      <c r="C26" s="41"/>
      <c r="D26" s="25"/>
      <c r="E26" s="42"/>
      <c r="F26" s="43"/>
    </row>
    <row r="27" spans="1:6" customFormat="1" ht="12" customHeight="1">
      <c r="A27" s="39"/>
      <c r="B27" s="40" t="s">
        <v>32</v>
      </c>
      <c r="C27" s="41"/>
      <c r="D27" s="25"/>
      <c r="E27" s="42"/>
      <c r="F27" s="43"/>
    </row>
    <row r="28" spans="1:6" customFormat="1" ht="12" customHeight="1">
      <c r="A28" s="39"/>
      <c r="B28" s="40" t="s">
        <v>34</v>
      </c>
      <c r="C28" s="41"/>
      <c r="D28" s="25"/>
      <c r="E28" s="42"/>
      <c r="F28" s="43"/>
    </row>
    <row r="29" spans="1:6" customFormat="1" ht="12" customHeight="1">
      <c r="A29" s="39"/>
      <c r="B29" s="40" t="s">
        <v>35</v>
      </c>
      <c r="C29" s="41"/>
      <c r="D29" s="25"/>
      <c r="E29" s="42"/>
      <c r="F29" s="43"/>
    </row>
    <row r="30" spans="1:6" customFormat="1" ht="12" customHeight="1">
      <c r="A30" s="39"/>
      <c r="B30" s="40" t="s">
        <v>36</v>
      </c>
      <c r="C30" s="41"/>
      <c r="D30" s="25"/>
      <c r="E30" s="42"/>
      <c r="F30" s="43"/>
    </row>
    <row r="31" spans="1:6" ht="12" customHeight="1" thickBot="1">
      <c r="A31" s="22"/>
      <c r="B31" s="324"/>
      <c r="C31" s="310"/>
      <c r="D31" s="390"/>
      <c r="E31" s="391"/>
      <c r="F31" s="392"/>
    </row>
    <row r="32" spans="1:6" customFormat="1" ht="27" customHeight="1" thickTop="1" thickBot="1">
      <c r="A32" s="22"/>
      <c r="B32" s="66"/>
      <c r="C32" s="531" t="s">
        <v>10</v>
      </c>
      <c r="D32" s="532"/>
      <c r="E32" s="533"/>
      <c r="F32" s="51"/>
    </row>
    <row r="33" spans="1:6" ht="12" customHeight="1" thickTop="1" thickBot="1">
      <c r="A33" s="22"/>
      <c r="B33" s="393"/>
      <c r="C33" s="394"/>
      <c r="D33" s="53"/>
      <c r="E33" s="395"/>
      <c r="F33" s="379"/>
    </row>
    <row r="34" spans="1:6" customFormat="1" ht="12" customHeight="1" thickTop="1">
      <c r="A34" s="39"/>
      <c r="B34" s="483" t="s">
        <v>37</v>
      </c>
      <c r="C34" s="44"/>
      <c r="D34" s="32"/>
      <c r="E34" s="29"/>
      <c r="F34" s="26"/>
    </row>
    <row r="35" spans="1:6" customFormat="1" ht="12" customHeight="1">
      <c r="A35" s="39"/>
      <c r="B35" s="484"/>
      <c r="C35" s="44"/>
      <c r="D35" s="32"/>
      <c r="E35" s="29"/>
      <c r="F35" s="26"/>
    </row>
    <row r="36" spans="1:6" customFormat="1" ht="12" customHeight="1">
      <c r="A36" s="39"/>
      <c r="B36" s="484"/>
      <c r="C36" s="44"/>
      <c r="D36" s="32"/>
      <c r="E36" s="29"/>
      <c r="F36" s="26"/>
    </row>
    <row r="37" spans="1:6" customFormat="1" ht="12" customHeight="1">
      <c r="A37" s="39" t="s">
        <v>33</v>
      </c>
      <c r="B37" s="484"/>
      <c r="C37" s="44"/>
      <c r="D37" s="32"/>
      <c r="E37" s="29"/>
      <c r="F37" s="26"/>
    </row>
    <row r="38" spans="1:6" customFormat="1" ht="12" customHeight="1" thickBot="1">
      <c r="A38" s="39"/>
      <c r="B38" s="485"/>
      <c r="C38" s="44"/>
      <c r="D38" s="32"/>
      <c r="E38" s="29"/>
      <c r="F38" s="26"/>
    </row>
    <row r="39" spans="1:6" ht="12" customHeight="1" thickTop="1">
      <c r="A39" s="22"/>
      <c r="B39" s="68"/>
      <c r="C39" s="24"/>
      <c r="D39" s="32"/>
      <c r="E39" s="29"/>
      <c r="F39" s="30"/>
    </row>
    <row r="40" spans="1:6" s="89" customFormat="1" ht="20.100000000000001" customHeight="1">
      <c r="A40" s="348">
        <v>10.4</v>
      </c>
      <c r="B40" s="58" t="s">
        <v>53</v>
      </c>
      <c r="C40" s="93"/>
      <c r="D40" s="18"/>
      <c r="E40" s="29"/>
      <c r="F40" s="371"/>
    </row>
    <row r="41" spans="1:6" s="46" customFormat="1" ht="15" customHeight="1">
      <c r="A41" s="22"/>
      <c r="B41" s="61" t="s">
        <v>54</v>
      </c>
      <c r="C41" s="44"/>
      <c r="D41" s="32"/>
      <c r="E41" s="29"/>
      <c r="F41" s="30"/>
    </row>
    <row r="42" spans="1:6" s="64" customFormat="1" ht="12" customHeight="1">
      <c r="A42" s="39"/>
      <c r="B42" s="63" t="s">
        <v>92</v>
      </c>
      <c r="C42" s="24" t="s">
        <v>41</v>
      </c>
      <c r="D42" s="32">
        <v>3.3</v>
      </c>
      <c r="E42" s="29"/>
      <c r="F42" s="30"/>
    </row>
    <row r="43" spans="1:6" s="64" customFormat="1" ht="12" customHeight="1">
      <c r="A43" s="39"/>
      <c r="B43" s="396"/>
      <c r="C43" s="24"/>
      <c r="D43" s="32"/>
      <c r="E43" s="29"/>
      <c r="F43" s="30"/>
    </row>
    <row r="44" spans="1:6" s="46" customFormat="1" ht="15" customHeight="1">
      <c r="A44" s="22"/>
      <c r="B44" s="61" t="s">
        <v>132</v>
      </c>
      <c r="C44" s="24"/>
      <c r="D44" s="32"/>
      <c r="E44" s="29"/>
      <c r="F44" s="30"/>
    </row>
    <row r="45" spans="1:6" s="64" customFormat="1" ht="12" customHeight="1">
      <c r="A45" s="39"/>
      <c r="B45" s="63" t="s">
        <v>459</v>
      </c>
      <c r="C45" s="24" t="s">
        <v>41</v>
      </c>
      <c r="D45" s="32">
        <v>35.700000000000003</v>
      </c>
      <c r="E45" s="29"/>
      <c r="F45" s="30"/>
    </row>
    <row r="46" spans="1:6" s="64" customFormat="1" ht="12" customHeight="1">
      <c r="A46" s="39"/>
      <c r="B46" s="63" t="s">
        <v>460</v>
      </c>
      <c r="C46" s="24" t="s">
        <v>41</v>
      </c>
      <c r="D46" s="32">
        <v>27.13</v>
      </c>
      <c r="E46" s="29"/>
      <c r="F46" s="30"/>
    </row>
    <row r="47" spans="1:6" s="64" customFormat="1" ht="12" customHeight="1">
      <c r="A47" s="39"/>
      <c r="B47" s="396"/>
      <c r="C47" s="24"/>
      <c r="D47" s="32"/>
      <c r="E47" s="29"/>
      <c r="F47" s="30"/>
    </row>
    <row r="48" spans="1:6" s="46" customFormat="1" ht="15" customHeight="1">
      <c r="A48" s="22"/>
      <c r="B48" s="61" t="s">
        <v>58</v>
      </c>
      <c r="C48" s="24"/>
      <c r="D48" s="32"/>
      <c r="E48" s="29"/>
      <c r="F48" s="30"/>
    </row>
    <row r="49" spans="1:6" s="64" customFormat="1" ht="12" customHeight="1">
      <c r="A49" s="39"/>
      <c r="B49" s="23" t="s">
        <v>461</v>
      </c>
      <c r="C49" s="24" t="s">
        <v>41</v>
      </c>
      <c r="D49" s="32">
        <v>10</v>
      </c>
      <c r="E49" s="29"/>
      <c r="F49" s="30"/>
    </row>
    <row r="50" spans="1:6" s="64" customFormat="1" ht="12" customHeight="1">
      <c r="A50" s="39"/>
      <c r="B50" s="23" t="s">
        <v>462</v>
      </c>
      <c r="C50" s="24" t="s">
        <v>41</v>
      </c>
      <c r="D50" s="32">
        <v>40</v>
      </c>
      <c r="E50" s="29"/>
      <c r="F50" s="30"/>
    </row>
    <row r="51" spans="1:6" s="64" customFormat="1" ht="12" customHeight="1" thickBot="1">
      <c r="A51" s="163"/>
      <c r="B51" s="406"/>
      <c r="C51" s="83"/>
      <c r="D51" s="77"/>
      <c r="E51" s="78"/>
      <c r="F51" s="79"/>
    </row>
    <row r="52" spans="1:6" s="46" customFormat="1" ht="15" customHeight="1" thickTop="1">
      <c r="A52" s="8"/>
      <c r="B52" s="407" t="s">
        <v>141</v>
      </c>
      <c r="C52" s="10"/>
      <c r="D52" s="11"/>
      <c r="E52" s="12"/>
      <c r="F52" s="13"/>
    </row>
    <row r="53" spans="1:6" s="64" customFormat="1" ht="12" customHeight="1">
      <c r="A53" s="39"/>
      <c r="B53" s="23" t="s">
        <v>463</v>
      </c>
      <c r="C53" s="24" t="s">
        <v>41</v>
      </c>
      <c r="D53" s="32">
        <v>150</v>
      </c>
      <c r="E53" s="29"/>
      <c r="F53" s="30"/>
    </row>
    <row r="54" spans="1:6" s="64" customFormat="1" ht="12" customHeight="1" thickBot="1">
      <c r="A54" s="39"/>
      <c r="B54" s="23"/>
      <c r="C54" s="24"/>
      <c r="D54" s="32"/>
      <c r="E54" s="57"/>
      <c r="F54" s="30"/>
    </row>
    <row r="55" spans="1:6" customFormat="1" ht="27" customHeight="1" thickTop="1" thickBot="1">
      <c r="A55" s="22"/>
      <c r="B55" s="66" t="s">
        <v>33</v>
      </c>
      <c r="C55" s="531" t="str">
        <f>+B40</f>
        <v>FAUX PLAFOND</v>
      </c>
      <c r="D55" s="532"/>
      <c r="E55" s="533"/>
      <c r="F55" s="51"/>
    </row>
    <row r="56" spans="1:6" s="46" customFormat="1" ht="12" customHeight="1" thickTop="1" thickBot="1">
      <c r="A56" s="90"/>
      <c r="B56" s="63"/>
      <c r="C56" s="69"/>
      <c r="D56" s="32"/>
      <c r="E56" s="57"/>
      <c r="F56" s="30"/>
    </row>
    <row r="57" spans="1:6" customFormat="1" ht="30" customHeight="1" thickTop="1" thickBot="1">
      <c r="A57" s="477" t="s">
        <v>63</v>
      </c>
      <c r="B57" s="478"/>
      <c r="C57" s="478"/>
      <c r="D57" s="478"/>
      <c r="E57" s="479"/>
      <c r="F57" s="102"/>
    </row>
    <row r="58" spans="1:6" ht="12" customHeight="1" thickTop="1"/>
    <row r="59" spans="1:6" ht="12" customHeight="1"/>
    <row r="60" spans="1:6">
      <c r="A60" s="107" t="s">
        <v>64</v>
      </c>
    </row>
    <row r="61" spans="1:6" ht="12" customHeight="1"/>
    <row r="62" spans="1:6" ht="12" customHeight="1"/>
    <row r="63" spans="1:6" ht="12" customHeight="1"/>
    <row r="64" spans="1:6" ht="12" customHeight="1"/>
    <row r="65" spans="2:6" ht="12" customHeight="1"/>
    <row r="66" spans="2:6" ht="12" customHeight="1"/>
    <row r="67" spans="2:6" s="103" customFormat="1" ht="12" customHeight="1">
      <c r="B67" s="104"/>
      <c r="C67" s="14"/>
      <c r="D67" s="47"/>
      <c r="E67" s="399"/>
      <c r="F67" s="106"/>
    </row>
    <row r="68" spans="2:6" s="103" customFormat="1" ht="12" customHeight="1">
      <c r="B68" s="104"/>
      <c r="C68" s="14"/>
      <c r="D68" s="47"/>
      <c r="E68" s="399"/>
      <c r="F68" s="106"/>
    </row>
    <row r="69" spans="2:6" s="103" customFormat="1" ht="12" customHeight="1">
      <c r="B69" s="104"/>
      <c r="C69" s="14"/>
      <c r="D69" s="47"/>
      <c r="E69" s="399"/>
      <c r="F69" s="106"/>
    </row>
    <row r="70" spans="2:6" s="103" customFormat="1" ht="12" customHeight="1">
      <c r="B70" s="104"/>
      <c r="C70" s="14"/>
      <c r="D70" s="47"/>
      <c r="E70" s="399"/>
      <c r="F70" s="106"/>
    </row>
    <row r="71" spans="2:6" s="103" customFormat="1" ht="12" customHeight="1">
      <c r="B71" s="104"/>
      <c r="C71" s="14"/>
      <c r="D71" s="47"/>
      <c r="E71" s="399"/>
      <c r="F71" s="106"/>
    </row>
    <row r="72" spans="2:6" s="103" customFormat="1" ht="12" customHeight="1">
      <c r="B72" s="104"/>
      <c r="C72" s="14"/>
      <c r="D72" s="47"/>
      <c r="E72" s="399"/>
      <c r="F72" s="106"/>
    </row>
    <row r="73" spans="2:6" s="103" customFormat="1" ht="12" customHeight="1">
      <c r="B73" s="104"/>
      <c r="C73" s="14"/>
      <c r="D73" s="47"/>
      <c r="E73" s="399"/>
      <c r="F73" s="106"/>
    </row>
    <row r="74" spans="2:6" s="103" customFormat="1" ht="12" customHeight="1">
      <c r="B74" s="104"/>
      <c r="C74" s="14"/>
      <c r="D74" s="47"/>
      <c r="E74" s="399"/>
      <c r="F74" s="106"/>
    </row>
    <row r="75" spans="2:6" s="103" customFormat="1" ht="12" customHeight="1">
      <c r="B75" s="104"/>
      <c r="C75" s="14"/>
      <c r="D75" s="47"/>
      <c r="E75" s="399"/>
      <c r="F75" s="106"/>
    </row>
    <row r="76" spans="2:6" s="103" customFormat="1" ht="12" customHeight="1">
      <c r="B76" s="104"/>
      <c r="C76" s="14"/>
      <c r="D76" s="47"/>
      <c r="E76" s="399"/>
      <c r="F76" s="106"/>
    </row>
    <row r="77" spans="2:6" s="103" customFormat="1" ht="12" customHeight="1">
      <c r="B77" s="104"/>
      <c r="C77" s="14"/>
      <c r="D77" s="47"/>
      <c r="E77" s="399"/>
      <c r="F77" s="106"/>
    </row>
    <row r="78" spans="2:6" s="103" customFormat="1" ht="12" customHeight="1">
      <c r="B78" s="104"/>
      <c r="C78" s="14"/>
      <c r="D78" s="47"/>
      <c r="E78" s="399"/>
      <c r="F78" s="106"/>
    </row>
    <row r="79" spans="2:6" s="103" customFormat="1" ht="12" customHeight="1">
      <c r="B79" s="104"/>
      <c r="C79" s="14"/>
      <c r="D79" s="47"/>
      <c r="E79" s="399"/>
      <c r="F79" s="106"/>
    </row>
    <row r="80" spans="2:6" s="103" customFormat="1" ht="12" customHeight="1">
      <c r="B80" s="104"/>
      <c r="C80" s="14"/>
      <c r="D80" s="47"/>
      <c r="E80" s="399"/>
      <c r="F80" s="106"/>
    </row>
    <row r="81" spans="2:6" s="103" customFormat="1" ht="12" customHeight="1">
      <c r="B81" s="104"/>
      <c r="C81" s="14"/>
      <c r="D81" s="47"/>
      <c r="E81" s="399"/>
      <c r="F81" s="106"/>
    </row>
    <row r="82" spans="2:6" s="103" customFormat="1" ht="12" customHeight="1">
      <c r="B82" s="104"/>
      <c r="C82" s="14"/>
      <c r="D82" s="47"/>
      <c r="E82" s="399"/>
      <c r="F82" s="106"/>
    </row>
    <row r="83" spans="2:6" s="103" customFormat="1" ht="12" customHeight="1">
      <c r="B83" s="104"/>
      <c r="C83" s="14"/>
      <c r="D83" s="47"/>
      <c r="E83" s="399"/>
      <c r="F83" s="106"/>
    </row>
    <row r="84" spans="2:6" s="103" customFormat="1" ht="12" customHeight="1">
      <c r="B84" s="104"/>
      <c r="C84" s="14"/>
      <c r="D84" s="47"/>
      <c r="E84" s="399"/>
      <c r="F84" s="106"/>
    </row>
    <row r="85" spans="2:6" s="103" customFormat="1" ht="12" customHeight="1">
      <c r="B85" s="104"/>
      <c r="C85" s="14"/>
      <c r="D85" s="47"/>
      <c r="E85" s="399"/>
      <c r="F85" s="106"/>
    </row>
    <row r="86" spans="2:6" s="103" customFormat="1" ht="12" customHeight="1">
      <c r="B86" s="104"/>
      <c r="C86" s="14"/>
      <c r="D86" s="47"/>
      <c r="E86" s="399"/>
      <c r="F86" s="106"/>
    </row>
    <row r="87" spans="2:6" s="103" customFormat="1" ht="12" customHeight="1">
      <c r="B87" s="104"/>
      <c r="C87" s="14"/>
      <c r="D87" s="47"/>
      <c r="E87" s="399"/>
      <c r="F87" s="106"/>
    </row>
    <row r="88" spans="2:6" s="103" customFormat="1" ht="12" customHeight="1">
      <c r="B88" s="104"/>
      <c r="C88" s="14"/>
      <c r="D88" s="47"/>
      <c r="E88" s="399"/>
      <c r="F88" s="106"/>
    </row>
    <row r="89" spans="2:6" s="103" customFormat="1" ht="12" customHeight="1">
      <c r="B89" s="104"/>
      <c r="C89" s="14"/>
      <c r="D89" s="47"/>
      <c r="E89" s="399"/>
      <c r="F89" s="106"/>
    </row>
    <row r="90" spans="2:6" s="103" customFormat="1" ht="12" customHeight="1">
      <c r="B90" s="104"/>
      <c r="C90" s="14"/>
      <c r="D90" s="47"/>
      <c r="E90" s="399"/>
      <c r="F90" s="106"/>
    </row>
    <row r="91" spans="2:6" s="103" customFormat="1" ht="12" customHeight="1">
      <c r="B91" s="104"/>
      <c r="C91" s="14"/>
      <c r="D91" s="47"/>
      <c r="E91" s="399"/>
      <c r="F91" s="106"/>
    </row>
    <row r="92" spans="2:6" s="103" customFormat="1" ht="12" customHeight="1">
      <c r="B92" s="104"/>
      <c r="C92" s="14"/>
      <c r="D92" s="47"/>
      <c r="E92" s="399"/>
      <c r="F92" s="106"/>
    </row>
    <row r="93" spans="2:6" s="103" customFormat="1" ht="12" customHeight="1">
      <c r="B93" s="104"/>
      <c r="C93" s="14"/>
      <c r="D93" s="47"/>
      <c r="E93" s="399"/>
      <c r="F93" s="106"/>
    </row>
    <row r="94" spans="2:6" s="103" customFormat="1" ht="12" customHeight="1">
      <c r="B94" s="104"/>
      <c r="C94" s="14"/>
      <c r="D94" s="47"/>
      <c r="E94" s="399"/>
      <c r="F94" s="106"/>
    </row>
    <row r="95" spans="2:6" s="103" customFormat="1" ht="12" customHeight="1">
      <c r="B95" s="104"/>
      <c r="C95" s="14"/>
      <c r="D95" s="47"/>
      <c r="E95" s="399"/>
      <c r="F95" s="106"/>
    </row>
    <row r="96" spans="2:6" s="103" customFormat="1" ht="12" customHeight="1">
      <c r="B96" s="104"/>
      <c r="C96" s="14"/>
      <c r="D96" s="47"/>
      <c r="E96" s="399"/>
      <c r="F96" s="106"/>
    </row>
    <row r="97" spans="2:6" s="103" customFormat="1" ht="12" customHeight="1">
      <c r="B97" s="104"/>
      <c r="C97" s="14"/>
      <c r="D97" s="47"/>
      <c r="E97" s="399"/>
      <c r="F97" s="106"/>
    </row>
    <row r="98" spans="2:6" s="103" customFormat="1" ht="12" customHeight="1">
      <c r="B98" s="104"/>
      <c r="C98" s="14"/>
      <c r="D98" s="47"/>
      <c r="E98" s="399"/>
      <c r="F98" s="106"/>
    </row>
    <row r="99" spans="2:6" s="103" customFormat="1" ht="12" customHeight="1">
      <c r="B99" s="104"/>
      <c r="C99" s="14"/>
      <c r="D99" s="47"/>
      <c r="E99" s="399"/>
      <c r="F99" s="106"/>
    </row>
    <row r="100" spans="2:6" s="103" customFormat="1" ht="12" customHeight="1">
      <c r="B100" s="104"/>
      <c r="C100" s="14"/>
      <c r="D100" s="47"/>
      <c r="E100" s="399"/>
      <c r="F100" s="106"/>
    </row>
    <row r="101" spans="2:6" s="103" customFormat="1" ht="12" customHeight="1">
      <c r="B101" s="104"/>
      <c r="C101" s="14"/>
      <c r="D101" s="47"/>
      <c r="E101" s="399"/>
      <c r="F101" s="106"/>
    </row>
    <row r="102" spans="2:6" s="103" customFormat="1" ht="12" customHeight="1">
      <c r="B102" s="104"/>
      <c r="C102" s="14"/>
      <c r="D102" s="47"/>
      <c r="E102" s="399"/>
      <c r="F102" s="106"/>
    </row>
    <row r="103" spans="2:6" s="103" customFormat="1" ht="12" customHeight="1">
      <c r="B103" s="104"/>
      <c r="C103" s="14"/>
      <c r="D103" s="47"/>
      <c r="E103" s="399"/>
      <c r="F103" s="106"/>
    </row>
    <row r="104" spans="2:6" s="103" customFormat="1" ht="12" customHeight="1">
      <c r="B104" s="104"/>
      <c r="C104" s="14"/>
      <c r="D104" s="47"/>
      <c r="E104" s="399"/>
      <c r="F104" s="106"/>
    </row>
    <row r="105" spans="2:6" s="103" customFormat="1" ht="12" customHeight="1">
      <c r="B105" s="104"/>
      <c r="C105" s="14"/>
      <c r="D105" s="47"/>
      <c r="E105" s="399"/>
      <c r="F105" s="106"/>
    </row>
    <row r="106" spans="2:6" s="103" customFormat="1" ht="12" customHeight="1">
      <c r="B106" s="104"/>
      <c r="C106" s="14"/>
      <c r="D106" s="47"/>
      <c r="E106" s="399"/>
      <c r="F106" s="106"/>
    </row>
    <row r="107" spans="2:6" s="103" customFormat="1" ht="12" customHeight="1">
      <c r="B107" s="104"/>
      <c r="C107" s="14"/>
      <c r="D107" s="47"/>
      <c r="E107" s="399"/>
      <c r="F107" s="106"/>
    </row>
    <row r="108" spans="2:6" s="103" customFormat="1" ht="12" customHeight="1">
      <c r="B108" s="104"/>
      <c r="C108" s="14"/>
      <c r="D108" s="47"/>
      <c r="E108" s="399"/>
      <c r="F108" s="106"/>
    </row>
    <row r="109" spans="2:6" s="103" customFormat="1" ht="12" customHeight="1">
      <c r="B109" s="104"/>
      <c r="C109" s="14"/>
      <c r="D109" s="47"/>
      <c r="E109" s="399"/>
      <c r="F109" s="106"/>
    </row>
    <row r="110" spans="2:6" s="103" customFormat="1" ht="12" customHeight="1">
      <c r="B110" s="104"/>
      <c r="C110" s="14"/>
      <c r="D110" s="47"/>
      <c r="E110" s="399"/>
      <c r="F110" s="106"/>
    </row>
    <row r="111" spans="2:6" s="103" customFormat="1" ht="12" customHeight="1">
      <c r="B111" s="104"/>
      <c r="C111" s="14"/>
      <c r="D111" s="47"/>
      <c r="E111" s="399"/>
      <c r="F111" s="106"/>
    </row>
    <row r="112" spans="2:6" s="103" customFormat="1" ht="12" customHeight="1">
      <c r="B112" s="104"/>
      <c r="C112" s="14"/>
      <c r="D112" s="47"/>
      <c r="E112" s="399"/>
      <c r="F112" s="106"/>
    </row>
    <row r="113" spans="2:6" s="103" customFormat="1" ht="12" customHeight="1">
      <c r="B113" s="104"/>
      <c r="C113" s="14"/>
      <c r="D113" s="47"/>
      <c r="E113" s="399"/>
      <c r="F113" s="106"/>
    </row>
    <row r="114" spans="2:6" s="103" customFormat="1" ht="12" customHeight="1">
      <c r="B114" s="104"/>
      <c r="C114" s="14"/>
      <c r="D114" s="47"/>
      <c r="E114" s="399"/>
      <c r="F114" s="106"/>
    </row>
    <row r="115" spans="2:6" s="103" customFormat="1" ht="12" customHeight="1">
      <c r="B115" s="104"/>
      <c r="C115" s="14"/>
      <c r="D115" s="47"/>
      <c r="E115" s="399"/>
      <c r="F115" s="106"/>
    </row>
    <row r="116" spans="2:6" s="103" customFormat="1" ht="12" customHeight="1">
      <c r="B116" s="104"/>
      <c r="C116" s="14"/>
      <c r="D116" s="47"/>
      <c r="E116" s="399"/>
      <c r="F116" s="106"/>
    </row>
    <row r="117" spans="2:6" s="103" customFormat="1" ht="12" customHeight="1">
      <c r="B117" s="104"/>
      <c r="C117" s="14"/>
      <c r="D117" s="47"/>
      <c r="E117" s="399"/>
      <c r="F117" s="106"/>
    </row>
    <row r="118" spans="2:6" s="103" customFormat="1" ht="12" customHeight="1">
      <c r="B118" s="104"/>
      <c r="C118" s="14"/>
      <c r="D118" s="47"/>
      <c r="E118" s="399"/>
      <c r="F118" s="106"/>
    </row>
    <row r="119" spans="2:6" s="103" customFormat="1" ht="12" customHeight="1">
      <c r="B119" s="104"/>
      <c r="C119" s="14"/>
      <c r="D119" s="47"/>
      <c r="E119" s="399"/>
      <c r="F119" s="106"/>
    </row>
    <row r="120" spans="2:6" s="103" customFormat="1" ht="12" customHeight="1">
      <c r="B120" s="104"/>
      <c r="C120" s="14"/>
      <c r="D120" s="47"/>
      <c r="E120" s="399"/>
      <c r="F120" s="106"/>
    </row>
    <row r="121" spans="2:6" s="103" customFormat="1" ht="12" customHeight="1">
      <c r="B121" s="104"/>
      <c r="C121" s="14"/>
      <c r="D121" s="47"/>
      <c r="E121" s="399"/>
      <c r="F121" s="106"/>
    </row>
    <row r="122" spans="2:6" s="103" customFormat="1" ht="12" customHeight="1">
      <c r="B122" s="104"/>
      <c r="C122" s="14"/>
      <c r="D122" s="47"/>
      <c r="E122" s="399"/>
      <c r="F122" s="106"/>
    </row>
    <row r="123" spans="2:6" s="103" customFormat="1" ht="12" customHeight="1">
      <c r="B123" s="104"/>
      <c r="C123" s="14"/>
      <c r="D123" s="47"/>
      <c r="E123" s="399"/>
      <c r="F123" s="106"/>
    </row>
    <row r="124" spans="2:6" s="103" customFormat="1" ht="12" customHeight="1">
      <c r="B124" s="104"/>
      <c r="C124" s="14"/>
      <c r="D124" s="47"/>
      <c r="E124" s="399"/>
      <c r="F124" s="106"/>
    </row>
    <row r="125" spans="2:6" s="103" customFormat="1" ht="12" customHeight="1">
      <c r="B125" s="104"/>
      <c r="C125" s="14"/>
      <c r="D125" s="47"/>
      <c r="E125" s="399"/>
      <c r="F125" s="106"/>
    </row>
    <row r="126" spans="2:6" s="103" customFormat="1" ht="12" customHeight="1">
      <c r="B126" s="104"/>
      <c r="C126" s="14"/>
      <c r="D126" s="47"/>
      <c r="E126" s="399"/>
      <c r="F126" s="106"/>
    </row>
    <row r="127" spans="2:6" s="103" customFormat="1" ht="12" customHeight="1">
      <c r="B127" s="104"/>
      <c r="C127" s="14"/>
      <c r="D127" s="47"/>
      <c r="E127" s="399"/>
      <c r="F127" s="106"/>
    </row>
    <row r="128" spans="2:6" s="103" customFormat="1" ht="12" customHeight="1">
      <c r="B128" s="104"/>
      <c r="C128" s="14"/>
      <c r="D128" s="47"/>
      <c r="E128" s="399"/>
      <c r="F128" s="106"/>
    </row>
    <row r="129" spans="2:6" s="103" customFormat="1" ht="12" customHeight="1">
      <c r="B129" s="104"/>
      <c r="C129" s="14"/>
      <c r="D129" s="47"/>
      <c r="E129" s="399"/>
      <c r="F129" s="106"/>
    </row>
    <row r="130" spans="2:6" s="103" customFormat="1" ht="12" customHeight="1">
      <c r="B130" s="104"/>
      <c r="C130" s="14"/>
      <c r="D130" s="47"/>
      <c r="E130" s="399"/>
      <c r="F130" s="106"/>
    </row>
    <row r="131" spans="2:6" s="103" customFormat="1" ht="12" customHeight="1">
      <c r="B131" s="104"/>
      <c r="C131" s="14"/>
      <c r="D131" s="47"/>
      <c r="E131" s="399"/>
      <c r="F131" s="106"/>
    </row>
    <row r="132" spans="2:6" s="103" customFormat="1" ht="12" customHeight="1">
      <c r="B132" s="104"/>
      <c r="C132" s="14"/>
      <c r="D132" s="47"/>
      <c r="E132" s="399"/>
      <c r="F132" s="106"/>
    </row>
    <row r="133" spans="2:6" s="103" customFormat="1" ht="12" customHeight="1">
      <c r="B133" s="104"/>
      <c r="C133" s="14"/>
      <c r="D133" s="47"/>
      <c r="E133" s="399"/>
      <c r="F133" s="106"/>
    </row>
    <row r="134" spans="2:6" s="103" customFormat="1" ht="12" customHeight="1">
      <c r="B134" s="104"/>
      <c r="C134" s="14"/>
      <c r="D134" s="47"/>
      <c r="E134" s="399"/>
      <c r="F134" s="106"/>
    </row>
    <row r="135" spans="2:6" s="103" customFormat="1" ht="12" customHeight="1">
      <c r="B135" s="104"/>
      <c r="C135" s="14"/>
      <c r="D135" s="47"/>
      <c r="E135" s="399"/>
      <c r="F135" s="106"/>
    </row>
    <row r="136" spans="2:6" s="103" customFormat="1" ht="12" customHeight="1">
      <c r="B136" s="104"/>
      <c r="C136" s="14"/>
      <c r="D136" s="47"/>
      <c r="E136" s="399"/>
      <c r="F136" s="106"/>
    </row>
    <row r="137" spans="2:6" s="103" customFormat="1" ht="12" customHeight="1">
      <c r="B137" s="104"/>
      <c r="C137" s="14"/>
      <c r="D137" s="47"/>
      <c r="E137" s="399"/>
      <c r="F137" s="106"/>
    </row>
    <row r="138" spans="2:6" s="103" customFormat="1" ht="12" customHeight="1">
      <c r="B138" s="104"/>
      <c r="C138" s="14"/>
      <c r="D138" s="47"/>
      <c r="E138" s="399"/>
      <c r="F138" s="106"/>
    </row>
    <row r="139" spans="2:6" s="103" customFormat="1" ht="12" customHeight="1">
      <c r="B139" s="104"/>
      <c r="C139" s="14"/>
      <c r="D139" s="47"/>
      <c r="E139" s="399"/>
      <c r="F139" s="106"/>
    </row>
    <row r="140" spans="2:6" s="103" customFormat="1" ht="12" customHeight="1">
      <c r="B140" s="104"/>
      <c r="C140" s="14"/>
      <c r="D140" s="47"/>
      <c r="E140" s="399"/>
      <c r="F140" s="106"/>
    </row>
    <row r="141" spans="2:6" s="103" customFormat="1" ht="12" customHeight="1">
      <c r="B141" s="104"/>
      <c r="C141" s="14"/>
      <c r="D141" s="47"/>
      <c r="E141" s="399"/>
      <c r="F141" s="106"/>
    </row>
    <row r="142" spans="2:6" s="103" customFormat="1" ht="12" customHeight="1">
      <c r="B142" s="104"/>
      <c r="C142" s="14"/>
      <c r="D142" s="47"/>
      <c r="E142" s="399"/>
      <c r="F142" s="106"/>
    </row>
    <row r="143" spans="2:6" s="103" customFormat="1" ht="12" customHeight="1">
      <c r="B143" s="104"/>
      <c r="C143" s="14"/>
      <c r="D143" s="47"/>
      <c r="E143" s="399"/>
      <c r="F143" s="106"/>
    </row>
    <row r="144" spans="2:6" s="103" customFormat="1" ht="12" customHeight="1">
      <c r="B144" s="104"/>
      <c r="C144" s="14"/>
      <c r="D144" s="47"/>
      <c r="E144" s="399"/>
      <c r="F144" s="106"/>
    </row>
    <row r="145" spans="2:6" s="103" customFormat="1" ht="12" customHeight="1">
      <c r="B145" s="104"/>
      <c r="C145" s="14"/>
      <c r="D145" s="47"/>
      <c r="E145" s="399"/>
      <c r="F145" s="106"/>
    </row>
    <row r="146" spans="2:6" s="103" customFormat="1" ht="12" customHeight="1">
      <c r="B146" s="104"/>
      <c r="C146" s="14"/>
      <c r="D146" s="47"/>
      <c r="E146" s="399"/>
      <c r="F146" s="106"/>
    </row>
    <row r="147" spans="2:6" s="103" customFormat="1" ht="12" customHeight="1">
      <c r="B147" s="104"/>
      <c r="C147" s="14"/>
      <c r="D147" s="47"/>
      <c r="E147" s="399"/>
      <c r="F147" s="106"/>
    </row>
    <row r="148" spans="2:6" s="103" customFormat="1" ht="12" customHeight="1">
      <c r="B148" s="104"/>
      <c r="C148" s="14"/>
      <c r="D148" s="47"/>
      <c r="E148" s="399"/>
      <c r="F148" s="106"/>
    </row>
    <row r="149" spans="2:6" s="103" customFormat="1" ht="12" customHeight="1">
      <c r="B149" s="104"/>
      <c r="C149" s="14"/>
      <c r="D149" s="47"/>
      <c r="E149" s="399"/>
      <c r="F149" s="106"/>
    </row>
    <row r="150" spans="2:6" s="103" customFormat="1" ht="12" customHeight="1">
      <c r="B150" s="104"/>
      <c r="C150" s="14"/>
      <c r="D150" s="47"/>
      <c r="E150" s="399"/>
      <c r="F150" s="106"/>
    </row>
    <row r="151" spans="2:6" s="103" customFormat="1" ht="12" customHeight="1">
      <c r="B151" s="104"/>
      <c r="C151" s="14"/>
      <c r="D151" s="47"/>
      <c r="E151" s="399"/>
      <c r="F151" s="106"/>
    </row>
    <row r="152" spans="2:6" s="103" customFormat="1" ht="12" customHeight="1">
      <c r="B152" s="104"/>
      <c r="C152" s="14"/>
      <c r="D152" s="47"/>
      <c r="E152" s="399"/>
      <c r="F152" s="106"/>
    </row>
    <row r="153" spans="2:6" s="103" customFormat="1" ht="12" customHeight="1">
      <c r="B153" s="104"/>
      <c r="C153" s="14"/>
      <c r="D153" s="47"/>
      <c r="E153" s="399"/>
      <c r="F153" s="106"/>
    </row>
    <row r="154" spans="2:6" s="103" customFormat="1" ht="12" customHeight="1">
      <c r="B154" s="104"/>
      <c r="C154" s="14"/>
      <c r="D154" s="47"/>
      <c r="E154" s="399"/>
      <c r="F154" s="106"/>
    </row>
    <row r="155" spans="2:6" s="103" customFormat="1" ht="12" customHeight="1">
      <c r="B155" s="104"/>
      <c r="C155" s="14"/>
      <c r="D155" s="47"/>
      <c r="E155" s="399"/>
      <c r="F155" s="106"/>
    </row>
    <row r="156" spans="2:6" s="103" customFormat="1" ht="12" customHeight="1">
      <c r="B156" s="104"/>
      <c r="C156" s="14"/>
      <c r="D156" s="47"/>
      <c r="E156" s="399"/>
      <c r="F156" s="106"/>
    </row>
    <row r="157" spans="2:6" s="103" customFormat="1" ht="12" customHeight="1">
      <c r="B157" s="104"/>
      <c r="C157" s="14"/>
      <c r="D157" s="47"/>
      <c r="E157" s="399"/>
      <c r="F157" s="106"/>
    </row>
    <row r="158" spans="2:6" s="103" customFormat="1" ht="12" customHeight="1">
      <c r="B158" s="104"/>
      <c r="C158" s="14"/>
      <c r="D158" s="47"/>
      <c r="E158" s="399"/>
      <c r="F158" s="106"/>
    </row>
    <row r="159" spans="2:6" s="103" customFormat="1" ht="12" customHeight="1">
      <c r="B159" s="104"/>
      <c r="C159" s="14"/>
      <c r="D159" s="47"/>
      <c r="E159" s="399"/>
      <c r="F159" s="106"/>
    </row>
    <row r="160" spans="2:6" s="103" customFormat="1" ht="12" customHeight="1">
      <c r="B160" s="104"/>
      <c r="C160" s="14"/>
      <c r="D160" s="47"/>
      <c r="E160" s="399"/>
      <c r="F160" s="106"/>
    </row>
    <row r="161" spans="2:6" s="103" customFormat="1" ht="12" customHeight="1">
      <c r="B161" s="104"/>
      <c r="C161" s="14"/>
      <c r="D161" s="47"/>
      <c r="E161" s="399"/>
      <c r="F161" s="106"/>
    </row>
    <row r="162" spans="2:6" s="103" customFormat="1" ht="12" customHeight="1">
      <c r="B162" s="104"/>
      <c r="C162" s="14"/>
      <c r="D162" s="47"/>
      <c r="E162" s="399"/>
      <c r="F162" s="106"/>
    </row>
    <row r="163" spans="2:6" s="103" customFormat="1" ht="12" customHeight="1">
      <c r="B163" s="104"/>
      <c r="C163" s="14"/>
      <c r="D163" s="47"/>
      <c r="E163" s="399"/>
      <c r="F163" s="106"/>
    </row>
    <row r="164" spans="2:6" s="103" customFormat="1" ht="12" customHeight="1">
      <c r="B164" s="104"/>
      <c r="C164" s="14"/>
      <c r="D164" s="47"/>
      <c r="E164" s="399"/>
      <c r="F164" s="106"/>
    </row>
    <row r="165" spans="2:6" s="103" customFormat="1" ht="12" customHeight="1">
      <c r="B165" s="104"/>
      <c r="C165" s="14"/>
      <c r="D165" s="47"/>
      <c r="E165" s="399"/>
      <c r="F165" s="106"/>
    </row>
    <row r="166" spans="2:6" s="103" customFormat="1" ht="12" customHeight="1">
      <c r="B166" s="104"/>
      <c r="C166" s="14"/>
      <c r="D166" s="47"/>
      <c r="E166" s="399"/>
      <c r="F166" s="106"/>
    </row>
    <row r="167" spans="2:6" s="103" customFormat="1" ht="12" customHeight="1">
      <c r="B167" s="104"/>
      <c r="C167" s="14"/>
      <c r="D167" s="47"/>
      <c r="E167" s="399"/>
      <c r="F167" s="106"/>
    </row>
    <row r="168" spans="2:6" s="103" customFormat="1" ht="12" customHeight="1">
      <c r="B168" s="104"/>
      <c r="C168" s="14"/>
      <c r="D168" s="47"/>
      <c r="E168" s="399"/>
      <c r="F168" s="106"/>
    </row>
    <row r="169" spans="2:6" s="103" customFormat="1" ht="12" customHeight="1">
      <c r="B169" s="104"/>
      <c r="C169" s="14"/>
      <c r="D169" s="47"/>
      <c r="E169" s="399"/>
      <c r="F169" s="106"/>
    </row>
    <row r="170" spans="2:6" s="103" customFormat="1" ht="12" customHeight="1">
      <c r="B170" s="104"/>
      <c r="C170" s="14"/>
      <c r="D170" s="47"/>
      <c r="E170" s="399"/>
      <c r="F170" s="106"/>
    </row>
    <row r="171" spans="2:6" s="103" customFormat="1" ht="12" customHeight="1">
      <c r="B171" s="104"/>
      <c r="C171" s="14"/>
      <c r="D171" s="47"/>
      <c r="E171" s="399"/>
      <c r="F171" s="106"/>
    </row>
    <row r="172" spans="2:6" s="103" customFormat="1" ht="12" customHeight="1">
      <c r="B172" s="104"/>
      <c r="C172" s="14"/>
      <c r="D172" s="47"/>
      <c r="E172" s="399"/>
      <c r="F172" s="106"/>
    </row>
    <row r="173" spans="2:6" s="103" customFormat="1" ht="12" customHeight="1">
      <c r="B173" s="104"/>
      <c r="C173" s="14"/>
      <c r="D173" s="47"/>
      <c r="E173" s="399"/>
      <c r="F173" s="106"/>
    </row>
    <row r="174" spans="2:6" s="103" customFormat="1" ht="12" customHeight="1">
      <c r="B174" s="104"/>
      <c r="C174" s="14"/>
      <c r="D174" s="47"/>
      <c r="E174" s="399"/>
      <c r="F174" s="106"/>
    </row>
    <row r="175" spans="2:6" s="103" customFormat="1" ht="12" customHeight="1">
      <c r="B175" s="104"/>
      <c r="C175" s="14"/>
      <c r="D175" s="47"/>
      <c r="E175" s="399"/>
      <c r="F175" s="106"/>
    </row>
    <row r="176" spans="2:6" s="103" customFormat="1" ht="12" customHeight="1">
      <c r="B176" s="104"/>
      <c r="C176" s="14"/>
      <c r="D176" s="47"/>
      <c r="E176" s="399"/>
      <c r="F176" s="106"/>
    </row>
  </sheetData>
  <mergeCells count="11">
    <mergeCell ref="E9:F9"/>
    <mergeCell ref="A1:F1"/>
    <mergeCell ref="A2:F2"/>
    <mergeCell ref="A3:F3"/>
    <mergeCell ref="A4:F4"/>
    <mergeCell ref="E8:F8"/>
    <mergeCell ref="E11:F11"/>
    <mergeCell ref="C32:E32"/>
    <mergeCell ref="B34:B38"/>
    <mergeCell ref="C55:E55"/>
    <mergeCell ref="A57:E57"/>
  </mergeCells>
  <conditionalFormatting sqref="E10">
    <cfRule type="cellIs" dxfId="52" priority="1" operator="equal">
      <formula>0</formula>
    </cfRule>
  </conditionalFormatting>
  <conditionalFormatting sqref="E42 E45:E46 E49:E50 E53">
    <cfRule type="cellIs" dxfId="51" priority="2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36E3F-AE4D-4258-8B69-D9E16F2D35B1}">
  <sheetPr codeName="Feuil78">
    <pageSetUpPr fitToPage="1"/>
  </sheetPr>
  <dimension ref="A1:T127"/>
  <sheetViews>
    <sheetView topLeftCell="A25" zoomScale="115" zoomScaleNormal="115" zoomScaleSheetLayoutView="100" workbookViewId="0">
      <selection activeCell="I45" sqref="I45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8" width="11.42578125" style="14"/>
    <col min="9" max="9" width="16" style="14" bestFit="1" customWidth="1"/>
    <col min="10" max="16384" width="11.42578125" style="14"/>
  </cols>
  <sheetData>
    <row r="1" spans="1:20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20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20" customFormat="1" ht="33.950000000000003" customHeight="1" thickTop="1" thickBot="1">
      <c r="A3" s="489" t="s">
        <v>464</v>
      </c>
      <c r="B3" s="490"/>
      <c r="C3" s="490"/>
      <c r="D3" s="490"/>
      <c r="E3" s="490"/>
      <c r="F3" s="491"/>
    </row>
    <row r="4" spans="1:20" customFormat="1" ht="33.950000000000003" customHeight="1" thickTop="1" thickBot="1">
      <c r="A4" s="547" t="s">
        <v>465</v>
      </c>
      <c r="B4" s="548"/>
      <c r="C4" s="548"/>
      <c r="D4" s="548"/>
      <c r="E4" s="548"/>
      <c r="F4" s="549"/>
    </row>
    <row r="5" spans="1:20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20" ht="12.75" thickTop="1">
      <c r="A6" s="8"/>
      <c r="B6" s="9"/>
      <c r="C6" s="300"/>
      <c r="D6" s="53"/>
      <c r="E6" s="54"/>
      <c r="F6" s="55"/>
    </row>
    <row r="7" spans="1:20" s="21" customFormat="1" ht="20.100000000000001" customHeight="1">
      <c r="A7" s="15">
        <v>10.1</v>
      </c>
      <c r="B7" s="408" t="s">
        <v>10</v>
      </c>
      <c r="C7" s="17"/>
      <c r="D7" s="18"/>
      <c r="E7" s="19"/>
      <c r="F7" s="20"/>
    </row>
    <row r="8" spans="1:20" s="409" customFormat="1">
      <c r="A8" s="304">
        <f>A7+0.001</f>
        <v>10.100999999999999</v>
      </c>
      <c r="B8" s="23" t="s">
        <v>11</v>
      </c>
      <c r="C8" s="24" t="s">
        <v>12</v>
      </c>
      <c r="D8" s="25">
        <v>1</v>
      </c>
      <c r="E8" s="481" t="s">
        <v>13</v>
      </c>
      <c r="F8" s="48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s="409" customFormat="1" ht="24.75" customHeight="1">
      <c r="A9" s="304">
        <f>A8+0.001</f>
        <v>10.101999999999999</v>
      </c>
      <c r="B9" s="23" t="s">
        <v>14</v>
      </c>
      <c r="C9" s="24" t="s">
        <v>12</v>
      </c>
      <c r="D9" s="25">
        <v>1</v>
      </c>
      <c r="E9" s="481" t="s">
        <v>15</v>
      </c>
      <c r="F9" s="48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</row>
    <row r="10" spans="1:20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20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20">
      <c r="A12" s="304"/>
      <c r="B12" s="23"/>
      <c r="C12" s="24"/>
      <c r="D12" s="305"/>
      <c r="E12" s="29"/>
      <c r="F12" s="26"/>
    </row>
    <row r="13" spans="1:20" customFormat="1" ht="12" customHeight="1">
      <c r="A13" s="39"/>
      <c r="B13" s="40" t="s">
        <v>18</v>
      </c>
      <c r="C13" s="41"/>
      <c r="D13" s="25"/>
      <c r="E13" s="42"/>
      <c r="F13" s="43"/>
    </row>
    <row r="14" spans="1:20" customFormat="1" ht="12" customHeight="1">
      <c r="A14" s="39"/>
      <c r="B14" s="40" t="s">
        <v>19</v>
      </c>
      <c r="C14" s="41"/>
      <c r="D14" s="25"/>
      <c r="E14" s="42"/>
      <c r="F14" s="43"/>
    </row>
    <row r="15" spans="1:20" customFormat="1" ht="12" customHeight="1">
      <c r="A15" s="39"/>
      <c r="B15" s="40" t="s">
        <v>20</v>
      </c>
      <c r="C15" s="41"/>
      <c r="D15" s="25"/>
      <c r="E15" s="42"/>
      <c r="F15" s="43"/>
    </row>
    <row r="16" spans="1:20" customFormat="1" ht="12" customHeight="1">
      <c r="A16" s="39"/>
      <c r="B16" s="40" t="s">
        <v>21</v>
      </c>
      <c r="C16" s="44"/>
      <c r="D16" s="32"/>
      <c r="E16" s="29"/>
      <c r="F16" s="26"/>
    </row>
    <row r="17" spans="1:8" customFormat="1" ht="12" customHeight="1">
      <c r="A17" s="39"/>
      <c r="B17" s="40" t="s">
        <v>22</v>
      </c>
      <c r="C17" s="41"/>
      <c r="D17" s="25"/>
      <c r="E17" s="42"/>
      <c r="F17" s="43"/>
    </row>
    <row r="18" spans="1:8" customFormat="1" ht="12" customHeight="1">
      <c r="A18" s="39"/>
      <c r="B18" s="40" t="s">
        <v>23</v>
      </c>
      <c r="C18" s="41"/>
      <c r="D18" s="25"/>
      <c r="E18" s="42"/>
      <c r="F18" s="43"/>
    </row>
    <row r="19" spans="1:8" customFormat="1" ht="12" customHeight="1">
      <c r="A19" s="39"/>
      <c r="B19" s="40" t="s">
        <v>24</v>
      </c>
      <c r="C19" s="41"/>
      <c r="D19" s="25"/>
      <c r="E19" s="42"/>
      <c r="F19" s="43"/>
    </row>
    <row r="20" spans="1:8" customFormat="1" ht="12" customHeight="1">
      <c r="A20" s="39"/>
      <c r="B20" s="40" t="s">
        <v>25</v>
      </c>
      <c r="C20" s="41"/>
      <c r="D20" s="25"/>
      <c r="E20" s="42"/>
      <c r="F20" s="43"/>
    </row>
    <row r="21" spans="1:8" customFormat="1" ht="12" customHeight="1">
      <c r="A21" s="39"/>
      <c r="B21" s="40" t="s">
        <v>26</v>
      </c>
      <c r="C21" s="41"/>
      <c r="D21" s="25"/>
      <c r="E21" s="42"/>
      <c r="F21" s="43"/>
    </row>
    <row r="22" spans="1:8" customFormat="1" ht="12" customHeight="1">
      <c r="A22" s="39"/>
      <c r="B22" s="40" t="s">
        <v>27</v>
      </c>
      <c r="C22" s="41"/>
      <c r="D22" s="25"/>
      <c r="E22" s="42"/>
      <c r="F22" s="43"/>
    </row>
    <row r="23" spans="1:8" customFormat="1" ht="12" customHeight="1">
      <c r="A23" s="39"/>
      <c r="B23" s="40" t="s">
        <v>28</v>
      </c>
      <c r="C23" s="41"/>
      <c r="D23" s="25"/>
      <c r="E23" s="42"/>
      <c r="F23" s="43"/>
    </row>
    <row r="24" spans="1:8" customFormat="1" ht="12" customHeight="1">
      <c r="A24" s="39"/>
      <c r="B24" s="40" t="s">
        <v>29</v>
      </c>
      <c r="C24" s="41"/>
      <c r="D24" s="25"/>
      <c r="E24" s="42"/>
      <c r="F24" s="43"/>
    </row>
    <row r="25" spans="1:8" customFormat="1" ht="12" customHeight="1">
      <c r="A25" s="39"/>
      <c r="B25" s="40" t="s">
        <v>30</v>
      </c>
      <c r="C25" s="41"/>
      <c r="D25" s="25"/>
      <c r="E25" s="42"/>
      <c r="F25" s="43"/>
    </row>
    <row r="26" spans="1:8" customFormat="1" ht="12" customHeight="1">
      <c r="A26" s="39"/>
      <c r="B26" s="40" t="s">
        <v>31</v>
      </c>
      <c r="C26" s="41"/>
      <c r="D26" s="25"/>
      <c r="E26" s="42"/>
      <c r="F26" s="43"/>
    </row>
    <row r="27" spans="1:8" customFormat="1" ht="12" customHeight="1">
      <c r="A27" s="39"/>
      <c r="B27" s="40" t="s">
        <v>32</v>
      </c>
      <c r="C27" s="41"/>
      <c r="D27" s="25"/>
      <c r="E27" s="42"/>
      <c r="F27" s="43"/>
      <c r="H27" t="s">
        <v>33</v>
      </c>
    </row>
    <row r="28" spans="1:8" customFormat="1" ht="12" customHeight="1">
      <c r="A28" s="39"/>
      <c r="B28" s="40" t="s">
        <v>34</v>
      </c>
      <c r="C28" s="41"/>
      <c r="D28" s="25"/>
      <c r="E28" s="42"/>
      <c r="F28" s="43"/>
    </row>
    <row r="29" spans="1:8" customFormat="1" ht="12" customHeight="1">
      <c r="A29" s="39"/>
      <c r="B29" s="40" t="s">
        <v>35</v>
      </c>
      <c r="C29" s="41"/>
      <c r="D29" s="25"/>
      <c r="E29" s="42"/>
      <c r="F29" s="43"/>
    </row>
    <row r="30" spans="1:8" customFormat="1" ht="12" customHeight="1">
      <c r="A30" s="39"/>
      <c r="B30" s="40" t="s">
        <v>36</v>
      </c>
      <c r="C30" s="41"/>
      <c r="D30" s="25"/>
      <c r="E30" s="42"/>
      <c r="F30" s="43"/>
    </row>
    <row r="31" spans="1:8" customFormat="1" ht="15.75" thickBot="1">
      <c r="A31" s="39"/>
      <c r="B31" s="306"/>
      <c r="C31" s="41"/>
      <c r="D31" s="25"/>
      <c r="E31" s="42"/>
      <c r="F31" s="43"/>
    </row>
    <row r="32" spans="1:8" ht="27" customHeight="1" thickTop="1" thickBot="1">
      <c r="A32" s="22"/>
      <c r="B32" s="50"/>
      <c r="C32" s="474" t="s">
        <v>10</v>
      </c>
      <c r="D32" s="475"/>
      <c r="E32" s="476"/>
      <c r="F32" s="307"/>
    </row>
    <row r="33" spans="1:7" s="1" customFormat="1" ht="16.5" thickTop="1" thickBot="1">
      <c r="A33" s="39"/>
      <c r="B33" s="52"/>
      <c r="C33" s="44"/>
      <c r="D33" s="53"/>
      <c r="E33" s="54"/>
      <c r="F33" s="55"/>
    </row>
    <row r="34" spans="1:7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7" s="1" customFormat="1" ht="15">
      <c r="A35" s="39"/>
      <c r="B35" s="484"/>
      <c r="C35" s="44"/>
      <c r="D35" s="32"/>
      <c r="E35" s="29"/>
      <c r="F35" s="26"/>
    </row>
    <row r="36" spans="1:7" s="1" customFormat="1" ht="15">
      <c r="A36" s="39"/>
      <c r="B36" s="484"/>
      <c r="C36" s="44"/>
      <c r="D36" s="32"/>
      <c r="E36" s="29"/>
      <c r="F36" s="26"/>
    </row>
    <row r="37" spans="1:7" s="1" customFormat="1" ht="15" customHeight="1">
      <c r="A37" s="39" t="s">
        <v>33</v>
      </c>
      <c r="B37" s="484"/>
      <c r="C37" s="44"/>
      <c r="D37" s="32"/>
      <c r="E37" s="29"/>
      <c r="F37" s="26"/>
    </row>
    <row r="38" spans="1:7" s="1" customFormat="1" ht="15.75" thickBot="1">
      <c r="A38" s="39"/>
      <c r="B38" s="485"/>
      <c r="C38" s="44"/>
      <c r="D38" s="32"/>
      <c r="E38" s="29"/>
      <c r="F38" s="26"/>
    </row>
    <row r="39" spans="1:7" s="1" customFormat="1" ht="15.75" thickTop="1">
      <c r="A39" s="39"/>
      <c r="B39" s="56"/>
      <c r="C39" s="44"/>
      <c r="D39" s="32"/>
      <c r="E39" s="57"/>
      <c r="F39" s="30"/>
    </row>
    <row r="40" spans="1:7" s="21" customFormat="1" ht="20.100000000000001" customHeight="1">
      <c r="A40" s="15">
        <f>A7+0.1</f>
        <v>10.199999999999999</v>
      </c>
      <c r="B40" s="58" t="s">
        <v>38</v>
      </c>
      <c r="C40" s="17"/>
      <c r="D40" s="18"/>
      <c r="E40" s="320"/>
      <c r="F40" s="321"/>
    </row>
    <row r="41" spans="1:7" ht="15" customHeight="1">
      <c r="A41" s="22">
        <f>A40+0.001</f>
        <v>10.200999999999999</v>
      </c>
      <c r="B41" s="61" t="s">
        <v>39</v>
      </c>
      <c r="C41" s="24"/>
      <c r="D41" s="32"/>
      <c r="E41" s="29"/>
      <c r="F41" s="26"/>
    </row>
    <row r="42" spans="1:7" s="64" customFormat="1" ht="12" customHeight="1">
      <c r="A42" s="39"/>
      <c r="B42" s="63" t="s">
        <v>466</v>
      </c>
      <c r="C42" s="24" t="s">
        <v>41</v>
      </c>
      <c r="D42" s="32">
        <v>616.45000000000005</v>
      </c>
      <c r="E42" s="29"/>
      <c r="F42" s="30"/>
    </row>
    <row r="43" spans="1:7" s="64" customFormat="1" ht="12" customHeight="1" thickBot="1">
      <c r="A43" s="39"/>
      <c r="B43" s="333"/>
      <c r="C43" s="310"/>
      <c r="D43" s="25"/>
      <c r="E43" s="410"/>
      <c r="F43" s="411"/>
    </row>
    <row r="44" spans="1:7" ht="27" customHeight="1" thickTop="1" thickBot="1">
      <c r="A44" s="22"/>
      <c r="B44" s="67"/>
      <c r="C44" s="474" t="str">
        <f>+B40</f>
        <v>DEMOLITION - DEPOSE</v>
      </c>
      <c r="D44" s="475"/>
      <c r="E44" s="476"/>
      <c r="F44" s="307"/>
    </row>
    <row r="45" spans="1:7" ht="12.75" thickTop="1">
      <c r="A45" s="22"/>
      <c r="B45" s="68"/>
      <c r="C45" s="24"/>
      <c r="D45" s="32"/>
      <c r="E45" s="29"/>
      <c r="F45" s="26"/>
    </row>
    <row r="46" spans="1:7" s="21" customFormat="1" ht="20.100000000000001" customHeight="1">
      <c r="A46" s="15">
        <f>A40+0.1</f>
        <v>10.299999999999999</v>
      </c>
      <c r="B46" s="58" t="s">
        <v>42</v>
      </c>
      <c r="C46" s="17"/>
      <c r="D46" s="18"/>
      <c r="E46" s="320"/>
      <c r="F46" s="321"/>
    </row>
    <row r="47" spans="1:7" ht="15" customHeight="1">
      <c r="A47" s="22">
        <f>A46+0.001</f>
        <v>10.300999999999998</v>
      </c>
      <c r="B47" s="61" t="s">
        <v>43</v>
      </c>
      <c r="C47" s="69"/>
      <c r="D47" s="32"/>
      <c r="E47" s="308"/>
      <c r="F47" s="327"/>
    </row>
    <row r="48" spans="1:7" s="64" customFormat="1" ht="12" customHeight="1">
      <c r="A48" s="39"/>
      <c r="B48" s="63" t="s">
        <v>467</v>
      </c>
      <c r="C48" s="312" t="s">
        <v>41</v>
      </c>
      <c r="D48" s="32">
        <f>((20.16*3.45)-((0.8*2.1)+(2*0.9*2.1)))</f>
        <v>64.092000000000013</v>
      </c>
      <c r="E48" s="29"/>
      <c r="F48" s="26" t="s">
        <v>62</v>
      </c>
      <c r="G48" s="1"/>
    </row>
    <row r="49" spans="1:7" s="64" customFormat="1" ht="12" customHeight="1">
      <c r="A49" s="39"/>
      <c r="B49" s="63" t="s">
        <v>468</v>
      </c>
      <c r="C49" s="312" t="s">
        <v>41</v>
      </c>
      <c r="D49" s="32">
        <f>((20.56*3.45)-((2*0.9*2.1)+(0.8*2.1)))</f>
        <v>65.472000000000008</v>
      </c>
      <c r="E49" s="29"/>
      <c r="F49" s="26" t="s">
        <v>62</v>
      </c>
      <c r="G49" s="1"/>
    </row>
    <row r="50" spans="1:7" s="64" customFormat="1" ht="12" customHeight="1" thickBot="1">
      <c r="A50" s="163"/>
      <c r="B50" s="75" t="s">
        <v>91</v>
      </c>
      <c r="C50" s="376" t="s">
        <v>41</v>
      </c>
      <c r="D50" s="77">
        <f>((8.44*3.45)-(0.9*2.1))</f>
        <v>27.227999999999998</v>
      </c>
      <c r="E50" s="78"/>
      <c r="F50" s="412" t="s">
        <v>62</v>
      </c>
      <c r="G50" s="1"/>
    </row>
    <row r="51" spans="1:7" s="64" customFormat="1" ht="12" customHeight="1" thickTop="1">
      <c r="A51" s="167"/>
      <c r="B51" s="81" t="s">
        <v>469</v>
      </c>
      <c r="C51" s="377" t="s">
        <v>41</v>
      </c>
      <c r="D51" s="11">
        <f>(19.84*3.45)-((1.5*2.1)+(2*0.9*2.1)+(1.5*1.7)+(2*1.5*2.7))</f>
        <v>50.868000000000009</v>
      </c>
      <c r="E51" s="12"/>
      <c r="F51" s="319" t="s">
        <v>62</v>
      </c>
      <c r="G51" s="1"/>
    </row>
    <row r="52" spans="1:7" s="64" customFormat="1" ht="12" customHeight="1">
      <c r="A52" s="39"/>
      <c r="B52" s="63" t="s">
        <v>470</v>
      </c>
      <c r="C52" s="312" t="s">
        <v>41</v>
      </c>
      <c r="D52" s="32">
        <f>(78.26*5.76)-((0.9*2.1)+(6*1.5*2.7)+(1.5*2.1)+(8*1.5*1.7))</f>
        <v>401.0376</v>
      </c>
      <c r="E52" s="29"/>
      <c r="F52" s="30"/>
      <c r="G52" s="1"/>
    </row>
    <row r="53" spans="1:7" s="64" customFormat="1" ht="12" customHeight="1">
      <c r="A53" s="39"/>
      <c r="B53" s="63" t="s">
        <v>157</v>
      </c>
      <c r="C53" s="312" t="s">
        <v>41</v>
      </c>
      <c r="D53" s="32">
        <f>(18.64*3.45)-((0.9*2.1)+(1.5*1.7)+(1.2*2.1))</f>
        <v>57.348000000000006</v>
      </c>
      <c r="E53" s="29"/>
      <c r="F53" s="26" t="s">
        <v>62</v>
      </c>
      <c r="G53" s="1"/>
    </row>
    <row r="54" spans="1:7" s="64" customFormat="1" ht="12" customHeight="1">
      <c r="A54" s="39"/>
      <c r="B54" s="63" t="s">
        <v>471</v>
      </c>
      <c r="C54" s="312" t="s">
        <v>41</v>
      </c>
      <c r="D54" s="32">
        <f>(11.54*2.7)-((0.9*2.1)+(1.5*1.7))</f>
        <v>26.718000000000004</v>
      </c>
      <c r="E54" s="29"/>
      <c r="F54" s="30"/>
      <c r="G54" s="1"/>
    </row>
    <row r="55" spans="1:7" s="64" customFormat="1" ht="12" customHeight="1">
      <c r="A55" s="39"/>
      <c r="B55" s="63" t="s">
        <v>472</v>
      </c>
      <c r="C55" s="312" t="s">
        <v>41</v>
      </c>
      <c r="D55" s="32">
        <f>(15.64*2.7)-(0.9*2.1)</f>
        <v>40.338000000000001</v>
      </c>
      <c r="E55" s="29"/>
      <c r="F55" s="30"/>
      <c r="G55" s="1"/>
    </row>
    <row r="56" spans="1:7" s="64" customFormat="1" ht="12" customHeight="1">
      <c r="A56" s="39"/>
      <c r="B56" s="63" t="s">
        <v>473</v>
      </c>
      <c r="C56" s="312" t="s">
        <v>41</v>
      </c>
      <c r="D56" s="32">
        <f>(8.2*3.45)-(0.9*2.1)</f>
        <v>26.4</v>
      </c>
      <c r="E56" s="29"/>
      <c r="F56" s="26" t="s">
        <v>62</v>
      </c>
      <c r="G56" s="1"/>
    </row>
    <row r="57" spans="1:7" s="64" customFormat="1" ht="12" customHeight="1">
      <c r="A57" s="39"/>
      <c r="B57" s="63" t="s">
        <v>474</v>
      </c>
      <c r="C57" s="312" t="s">
        <v>41</v>
      </c>
      <c r="D57" s="32">
        <f>(15.74*3.45)-((0.9*2.1)+(2*1.5*1.7))</f>
        <v>47.313000000000002</v>
      </c>
      <c r="E57" s="29"/>
      <c r="F57" s="26" t="s">
        <v>62</v>
      </c>
      <c r="G57" s="1"/>
    </row>
    <row r="58" spans="1:7" s="64" customFormat="1" ht="12" customHeight="1">
      <c r="A58" s="39"/>
      <c r="B58" s="63" t="s">
        <v>475</v>
      </c>
      <c r="C58" s="312" t="s">
        <v>41</v>
      </c>
      <c r="D58" s="32">
        <f>(33.08*3.45)-((2*0.9*2.1)+(7.36*2.1)+(1.18*2.1)+(1.47*3.4))</f>
        <v>87.414000000000001</v>
      </c>
      <c r="E58" s="29"/>
      <c r="F58" s="26" t="s">
        <v>62</v>
      </c>
      <c r="G58" s="1"/>
    </row>
    <row r="59" spans="1:7" s="64" customFormat="1" ht="12" customHeight="1">
      <c r="A59" s="39"/>
      <c r="B59" s="63" t="s">
        <v>476</v>
      </c>
      <c r="C59" s="312" t="s">
        <v>41</v>
      </c>
      <c r="D59" s="32">
        <f>(19.44*3.45)-((3*0.9*2.1)*(0.9*2.3*2))</f>
        <v>43.594200000000015</v>
      </c>
      <c r="E59" s="29"/>
      <c r="F59" s="26" t="s">
        <v>62</v>
      </c>
      <c r="G59" s="1"/>
    </row>
    <row r="60" spans="1:7" s="64" customFormat="1" ht="12" customHeight="1">
      <c r="A60" s="39"/>
      <c r="B60" s="63" t="s">
        <v>477</v>
      </c>
      <c r="C60" s="312" t="s">
        <v>41</v>
      </c>
      <c r="D60" s="32">
        <f>(11.72*3.45)-((0.9*2.1)+(1.2*2.1)+(1.18*2.1))</f>
        <v>33.546000000000006</v>
      </c>
      <c r="E60" s="29"/>
      <c r="F60" s="26" t="s">
        <v>62</v>
      </c>
      <c r="G60" s="1"/>
    </row>
    <row r="61" spans="1:7" s="64" customFormat="1" ht="12" customHeight="1">
      <c r="A61" s="39"/>
      <c r="B61" s="63" t="s">
        <v>478</v>
      </c>
      <c r="C61" s="312" t="s">
        <v>41</v>
      </c>
      <c r="D61" s="32">
        <f>(11.58*3.45)-((4*0.9*2.1))</f>
        <v>32.390999999999998</v>
      </c>
      <c r="E61" s="29"/>
      <c r="F61" s="30"/>
      <c r="G61" s="1"/>
    </row>
    <row r="62" spans="1:7" s="64" customFormat="1" ht="12" customHeight="1">
      <c r="A62" s="39"/>
      <c r="B62" s="63" t="s">
        <v>479</v>
      </c>
      <c r="C62" s="312" t="s">
        <v>41</v>
      </c>
      <c r="D62" s="32">
        <f>(16.84*3.45)-((2*0.8*2.1)+(0.9*2.1))</f>
        <v>52.847999999999999</v>
      </c>
      <c r="E62" s="29"/>
      <c r="F62" s="26" t="s">
        <v>62</v>
      </c>
      <c r="G62" s="1"/>
    </row>
    <row r="63" spans="1:7" s="64" customFormat="1" ht="12" customHeight="1">
      <c r="A63" s="39"/>
      <c r="B63" s="63" t="s">
        <v>480</v>
      </c>
      <c r="C63" s="312" t="s">
        <v>41</v>
      </c>
      <c r="D63" s="32">
        <f>(16.84*3.45)-((2*0.8*2.1)+(0.9*2.1))</f>
        <v>52.847999999999999</v>
      </c>
      <c r="E63" s="29"/>
      <c r="F63" s="26" t="s">
        <v>62</v>
      </c>
      <c r="G63" s="1"/>
    </row>
    <row r="64" spans="1:7" s="64" customFormat="1" ht="12" customHeight="1">
      <c r="A64" s="39"/>
      <c r="B64" s="63" t="s">
        <v>481</v>
      </c>
      <c r="C64" s="312" t="s">
        <v>41</v>
      </c>
      <c r="D64" s="32">
        <f>(7.8*3.45)-((0.9*2.1))</f>
        <v>25.02</v>
      </c>
      <c r="E64" s="29"/>
      <c r="F64" s="30"/>
      <c r="G64" s="1"/>
    </row>
    <row r="65" spans="1:7" s="64" customFormat="1" ht="12" customHeight="1">
      <c r="A65" s="39"/>
      <c r="B65" s="63" t="s">
        <v>176</v>
      </c>
      <c r="C65" s="312" t="s">
        <v>41</v>
      </c>
      <c r="D65" s="32">
        <f>(5.6*3.45)-((0.8*2.1))</f>
        <v>17.64</v>
      </c>
      <c r="E65" s="29"/>
      <c r="F65" s="30"/>
      <c r="G65" s="1"/>
    </row>
    <row r="66" spans="1:7" s="64" customFormat="1" ht="12" customHeight="1">
      <c r="A66" s="39"/>
      <c r="B66" s="63" t="s">
        <v>482</v>
      </c>
      <c r="C66" s="312" t="s">
        <v>41</v>
      </c>
      <c r="D66" s="32">
        <f>(5.82*3.45)-((1.72*2.7))</f>
        <v>15.435</v>
      </c>
      <c r="E66" s="29"/>
      <c r="F66" s="26" t="s">
        <v>62</v>
      </c>
      <c r="G66" s="1"/>
    </row>
    <row r="67" spans="1:7" s="64" customFormat="1" ht="12" customHeight="1">
      <c r="A67" s="39"/>
      <c r="B67" s="63" t="s">
        <v>483</v>
      </c>
      <c r="C67" s="312" t="s">
        <v>41</v>
      </c>
      <c r="D67" s="32">
        <f>(2.94*3.45)-((0.9*2.1))</f>
        <v>8.2530000000000001</v>
      </c>
      <c r="E67" s="29"/>
      <c r="F67" s="26" t="s">
        <v>62</v>
      </c>
      <c r="G67" s="1"/>
    </row>
    <row r="68" spans="1:7" s="64" customFormat="1" ht="12" customHeight="1">
      <c r="A68" s="39"/>
      <c r="B68" s="63" t="s">
        <v>123</v>
      </c>
      <c r="C68" s="312" t="s">
        <v>41</v>
      </c>
      <c r="D68" s="32">
        <f>(49.2*3.45)-((1.4*2.1)+(9*0.9*2.1)+(0.8*2.1)+(5*0.9*2.3)+(1.47*3.45))</f>
        <v>132.6885</v>
      </c>
      <c r="E68" s="29"/>
      <c r="F68" s="26" t="s">
        <v>62</v>
      </c>
      <c r="G68" s="1"/>
    </row>
    <row r="69" spans="1:7" s="64" customFormat="1" ht="12" customHeight="1" thickBot="1">
      <c r="A69" s="39"/>
      <c r="B69" s="66"/>
      <c r="C69" s="24"/>
      <c r="D69" s="32"/>
      <c r="E69" s="57"/>
      <c r="F69" s="30"/>
    </row>
    <row r="70" spans="1:7" s="64" customFormat="1" ht="27" customHeight="1" thickTop="1" thickBot="1">
      <c r="A70" s="22"/>
      <c r="B70" s="66"/>
      <c r="C70" s="474" t="s">
        <v>52</v>
      </c>
      <c r="D70" s="475"/>
      <c r="E70" s="476"/>
      <c r="F70" s="307"/>
    </row>
    <row r="71" spans="1:7" s="64" customFormat="1" ht="12" customHeight="1" thickTop="1">
      <c r="A71" s="22"/>
      <c r="B71" s="66"/>
      <c r="C71" s="24"/>
      <c r="D71" s="86"/>
      <c r="E71" s="316"/>
      <c r="F71" s="309"/>
    </row>
    <row r="72" spans="1:7" s="64" customFormat="1" ht="12" customHeight="1">
      <c r="A72" s="348">
        <f>A46+0.1</f>
        <v>10.399999999999999</v>
      </c>
      <c r="B72" s="58" t="s">
        <v>53</v>
      </c>
      <c r="C72" s="17"/>
      <c r="D72" s="18"/>
      <c r="E72" s="349"/>
      <c r="F72" s="60"/>
    </row>
    <row r="73" spans="1:7" s="64" customFormat="1" ht="12" customHeight="1">
      <c r="A73" s="22"/>
      <c r="B73" s="61" t="s">
        <v>54</v>
      </c>
      <c r="C73" s="44"/>
      <c r="D73" s="32"/>
      <c r="E73" s="349"/>
      <c r="F73" s="30"/>
    </row>
    <row r="74" spans="1:7" s="64" customFormat="1" ht="12" customHeight="1">
      <c r="A74" s="72"/>
      <c r="B74" s="63" t="s">
        <v>472</v>
      </c>
      <c r="C74" s="24" t="s">
        <v>41</v>
      </c>
      <c r="D74" s="32">
        <v>12.35</v>
      </c>
      <c r="E74" s="29"/>
      <c r="F74" s="30"/>
    </row>
    <row r="75" spans="1:7" s="64" customFormat="1" ht="12" customHeight="1">
      <c r="A75" s="72"/>
      <c r="B75" s="63" t="s">
        <v>478</v>
      </c>
      <c r="C75" s="24" t="s">
        <v>41</v>
      </c>
      <c r="D75" s="32">
        <v>8.35</v>
      </c>
      <c r="E75" s="29"/>
      <c r="F75" s="30"/>
    </row>
    <row r="76" spans="1:7">
      <c r="A76" s="72"/>
      <c r="B76" s="63" t="s">
        <v>482</v>
      </c>
      <c r="C76" s="24" t="s">
        <v>41</v>
      </c>
      <c r="D76" s="32">
        <v>1.65</v>
      </c>
      <c r="E76" s="29"/>
      <c r="F76" s="30"/>
    </row>
    <row r="77" spans="1:7">
      <c r="A77" s="72"/>
      <c r="B77" s="63" t="s">
        <v>176</v>
      </c>
      <c r="C77" s="24" t="s">
        <v>41</v>
      </c>
      <c r="D77" s="32">
        <v>1.95</v>
      </c>
      <c r="E77" s="29"/>
      <c r="F77" s="30"/>
    </row>
    <row r="78" spans="1:7" s="89" customFormat="1" ht="12.75">
      <c r="A78" s="72"/>
      <c r="B78" s="63" t="s">
        <v>484</v>
      </c>
      <c r="C78" s="24" t="s">
        <v>41</v>
      </c>
      <c r="D78" s="32">
        <v>4.0999999999999996</v>
      </c>
      <c r="E78" s="29"/>
      <c r="F78" s="30"/>
    </row>
    <row r="79" spans="1:7" s="89" customFormat="1" ht="12.75">
      <c r="A79" s="72"/>
      <c r="B79" s="63"/>
      <c r="C79" s="24"/>
      <c r="D79" s="32"/>
      <c r="E79" s="349"/>
      <c r="F79" s="30"/>
    </row>
    <row r="80" spans="1:7" s="64" customFormat="1" ht="12" customHeight="1">
      <c r="A80" s="22"/>
      <c r="B80" s="61" t="s">
        <v>132</v>
      </c>
      <c r="C80" s="24"/>
      <c r="D80" s="32"/>
      <c r="E80" s="349"/>
      <c r="F80" s="26"/>
    </row>
    <row r="81" spans="1:10" s="64" customFormat="1" ht="12" customHeight="1">
      <c r="A81" s="72"/>
      <c r="B81" s="63" t="s">
        <v>467</v>
      </c>
      <c r="C81" s="24" t="s">
        <v>41</v>
      </c>
      <c r="D81" s="32">
        <v>8.9</v>
      </c>
      <c r="E81" s="29"/>
      <c r="F81" s="30"/>
    </row>
    <row r="82" spans="1:10" s="64" customFormat="1" ht="12" customHeight="1">
      <c r="A82" s="72"/>
      <c r="B82" s="63" t="s">
        <v>468</v>
      </c>
      <c r="C82" s="24" t="s">
        <v>41</v>
      </c>
      <c r="D82" s="32">
        <v>4.7</v>
      </c>
      <c r="E82" s="29"/>
      <c r="F82" s="30"/>
    </row>
    <row r="83" spans="1:10" s="64" customFormat="1" ht="12" customHeight="1">
      <c r="A83" s="72"/>
      <c r="B83" s="63" t="s">
        <v>469</v>
      </c>
      <c r="C83" s="24" t="s">
        <v>41</v>
      </c>
      <c r="D83" s="32">
        <v>22.17</v>
      </c>
      <c r="E83" s="29"/>
      <c r="F83" s="30"/>
    </row>
    <row r="84" spans="1:10" s="64" customFormat="1" ht="12" customHeight="1">
      <c r="A84" s="72"/>
      <c r="B84" s="63" t="s">
        <v>479</v>
      </c>
      <c r="C84" s="24" t="s">
        <v>41</v>
      </c>
      <c r="D84" s="32">
        <v>6.22</v>
      </c>
      <c r="E84" s="29"/>
      <c r="F84" s="30"/>
    </row>
    <row r="85" spans="1:10" s="64" customFormat="1" ht="12" customHeight="1">
      <c r="A85" s="72"/>
      <c r="B85" s="63" t="s">
        <v>480</v>
      </c>
      <c r="C85" s="24" t="s">
        <v>41</v>
      </c>
      <c r="D85" s="32">
        <v>6.92</v>
      </c>
      <c r="E85" s="29"/>
      <c r="F85" s="30"/>
    </row>
    <row r="86" spans="1:10" s="46" customFormat="1" ht="15" customHeight="1">
      <c r="A86" s="72"/>
      <c r="B86" s="63" t="s">
        <v>473</v>
      </c>
      <c r="C86" s="24" t="s">
        <v>41</v>
      </c>
      <c r="D86" s="32">
        <v>4.2300000000000004</v>
      </c>
      <c r="E86" s="29"/>
      <c r="F86" s="30"/>
    </row>
    <row r="87" spans="1:10" s="64" customFormat="1" ht="12" customHeight="1">
      <c r="A87" s="72"/>
      <c r="B87" s="63" t="s">
        <v>481</v>
      </c>
      <c r="C87" s="24" t="s">
        <v>41</v>
      </c>
      <c r="D87" s="32">
        <v>3.6</v>
      </c>
      <c r="E87" s="29"/>
      <c r="F87" s="30"/>
    </row>
    <row r="88" spans="1:10" s="64" customFormat="1" ht="12" customHeight="1">
      <c r="A88" s="72"/>
      <c r="B88" s="63"/>
      <c r="C88" s="24"/>
      <c r="D88" s="32"/>
      <c r="E88" s="349"/>
      <c r="F88" s="30"/>
    </row>
    <row r="89" spans="1:10" s="64" customFormat="1" ht="12" customHeight="1">
      <c r="A89" s="22"/>
      <c r="B89" s="61" t="s">
        <v>58</v>
      </c>
      <c r="C89" s="24"/>
      <c r="D89" s="313"/>
      <c r="E89" s="349"/>
      <c r="F89" s="30"/>
    </row>
    <row r="90" spans="1:10" s="64" customFormat="1" ht="12" customHeight="1">
      <c r="A90" s="22"/>
      <c r="B90" s="63" t="s">
        <v>485</v>
      </c>
      <c r="C90" s="24" t="s">
        <v>41</v>
      </c>
      <c r="D90" s="32">
        <v>6.5</v>
      </c>
      <c r="E90" s="29"/>
      <c r="F90" s="30"/>
    </row>
    <row r="91" spans="1:10" s="64" customFormat="1" ht="12" customHeight="1">
      <c r="A91" s="22"/>
      <c r="B91" s="63"/>
      <c r="C91" s="24"/>
      <c r="D91" s="32"/>
      <c r="E91" s="349"/>
      <c r="F91" s="30"/>
    </row>
    <row r="92" spans="1:10" s="64" customFormat="1" ht="12" customHeight="1">
      <c r="A92" s="22"/>
      <c r="B92" s="61" t="s">
        <v>486</v>
      </c>
      <c r="C92" s="24"/>
      <c r="D92" s="32"/>
      <c r="E92" s="349"/>
      <c r="F92" s="26"/>
    </row>
    <row r="93" spans="1:10" s="64" customFormat="1" ht="12" customHeight="1">
      <c r="A93" s="72"/>
      <c r="B93" s="63" t="s">
        <v>470</v>
      </c>
      <c r="C93" s="24" t="s">
        <v>41</v>
      </c>
      <c r="D93" s="32">
        <v>217.2</v>
      </c>
      <c r="E93" s="29"/>
      <c r="F93" s="30"/>
    </row>
    <row r="94" spans="1:10" s="64" customFormat="1" ht="12" customHeight="1">
      <c r="A94" s="72"/>
      <c r="B94" s="63"/>
      <c r="C94" s="24"/>
      <c r="D94" s="32"/>
      <c r="E94" s="349"/>
      <c r="F94" s="30"/>
    </row>
    <row r="95" spans="1:10" s="64" customFormat="1" ht="12" customHeight="1">
      <c r="A95" s="22"/>
      <c r="B95" s="61" t="s">
        <v>132</v>
      </c>
      <c r="C95" s="24"/>
      <c r="D95" s="32"/>
      <c r="E95" s="349"/>
      <c r="F95" s="30"/>
      <c r="H95" s="1"/>
      <c r="I95" s="1"/>
      <c r="J95" s="1"/>
    </row>
    <row r="96" spans="1:10" s="64" customFormat="1" ht="12" customHeight="1">
      <c r="A96" s="72"/>
      <c r="B96" s="63" t="s">
        <v>487</v>
      </c>
      <c r="C96" s="24" t="s">
        <v>41</v>
      </c>
      <c r="D96" s="32">
        <v>29.9</v>
      </c>
      <c r="E96" s="29"/>
      <c r="F96" s="30"/>
    </row>
    <row r="97" spans="1:10" s="64" customFormat="1" ht="12" customHeight="1">
      <c r="A97" s="72"/>
      <c r="B97" s="63" t="s">
        <v>488</v>
      </c>
      <c r="C97" s="24" t="s">
        <v>41</v>
      </c>
      <c r="D97" s="32">
        <v>16.5</v>
      </c>
      <c r="E97" s="29"/>
      <c r="F97" s="30"/>
    </row>
    <row r="98" spans="1:10" s="64" customFormat="1" ht="12" customHeight="1">
      <c r="A98" s="39"/>
      <c r="B98" s="63" t="s">
        <v>489</v>
      </c>
      <c r="C98" s="24" t="s">
        <v>41</v>
      </c>
      <c r="D98" s="32">
        <v>50.2</v>
      </c>
      <c r="E98" s="29"/>
      <c r="F98" s="30"/>
      <c r="H98" s="1"/>
      <c r="I98" s="1"/>
      <c r="J98" s="1"/>
    </row>
    <row r="99" spans="1:10" s="64" customFormat="1" ht="12" customHeight="1">
      <c r="A99" s="72"/>
      <c r="B99" s="63" t="s">
        <v>490</v>
      </c>
      <c r="C99" s="24" t="s">
        <v>41</v>
      </c>
      <c r="D99" s="32">
        <v>25.7</v>
      </c>
      <c r="E99" s="29"/>
      <c r="F99" s="30"/>
    </row>
    <row r="100" spans="1:10" s="64" customFormat="1" ht="15">
      <c r="A100" s="72"/>
      <c r="B100" s="63" t="s">
        <v>491</v>
      </c>
      <c r="C100" s="24" t="s">
        <v>41</v>
      </c>
      <c r="D100" s="32">
        <v>8.35</v>
      </c>
      <c r="E100" s="29"/>
      <c r="F100" s="30"/>
    </row>
    <row r="101" spans="1:10" s="46" customFormat="1" ht="15" customHeight="1" thickBot="1">
      <c r="A101" s="74"/>
      <c r="B101" s="75"/>
      <c r="C101" s="83"/>
      <c r="D101" s="77"/>
      <c r="E101" s="413"/>
      <c r="F101" s="79"/>
    </row>
    <row r="102" spans="1:10" s="64" customFormat="1" ht="12" customHeight="1" thickTop="1">
      <c r="A102" s="80"/>
      <c r="B102" s="407" t="s">
        <v>492</v>
      </c>
      <c r="C102" s="10"/>
      <c r="D102" s="11"/>
      <c r="E102" s="414"/>
      <c r="F102" s="13"/>
      <c r="H102" s="1"/>
      <c r="I102" s="1"/>
    </row>
    <row r="103" spans="1:10" s="64" customFormat="1" ht="12" customHeight="1">
      <c r="A103" s="72"/>
      <c r="B103" s="63" t="s">
        <v>493</v>
      </c>
      <c r="C103" s="24" t="s">
        <v>41</v>
      </c>
      <c r="D103" s="32">
        <f>1.24*0.7</f>
        <v>0.86799999999999999</v>
      </c>
      <c r="E103" s="29"/>
      <c r="F103" s="30"/>
    </row>
    <row r="104" spans="1:10" s="64" customFormat="1" ht="12" customHeight="1">
      <c r="A104" s="72"/>
      <c r="B104" s="63" t="s">
        <v>494</v>
      </c>
      <c r="C104" s="24" t="s">
        <v>41</v>
      </c>
      <c r="D104" s="32">
        <f>2.17*0.7</f>
        <v>1.5189999999999999</v>
      </c>
      <c r="E104" s="29"/>
      <c r="F104" s="30"/>
    </row>
    <row r="105" spans="1:10" s="64" customFormat="1" ht="12" customHeight="1">
      <c r="A105" s="72"/>
      <c r="B105" s="63" t="s">
        <v>495</v>
      </c>
      <c r="C105" s="24" t="s">
        <v>41</v>
      </c>
      <c r="D105" s="32">
        <f>(((2.09+0.17+1.53)*0.7)+(1.75*0.7))</f>
        <v>3.8780000000000001</v>
      </c>
      <c r="E105" s="29"/>
      <c r="F105" s="30"/>
    </row>
    <row r="106" spans="1:10" s="64" customFormat="1" ht="15" customHeight="1">
      <c r="A106" s="72"/>
      <c r="B106" s="63" t="s">
        <v>496</v>
      </c>
      <c r="C106" s="24" t="s">
        <v>41</v>
      </c>
      <c r="D106" s="32">
        <f>2.16*0.7</f>
        <v>1.512</v>
      </c>
      <c r="E106" s="29"/>
      <c r="F106" s="30"/>
    </row>
    <row r="107" spans="1:10" s="64" customFormat="1" ht="12" customHeight="1">
      <c r="A107" s="72"/>
      <c r="B107" s="63" t="s">
        <v>497</v>
      </c>
      <c r="C107" s="24" t="s">
        <v>41</v>
      </c>
      <c r="D107" s="32">
        <f>7.6*0.7</f>
        <v>5.3199999999999994</v>
      </c>
      <c r="E107" s="29"/>
      <c r="F107" s="30"/>
    </row>
    <row r="108" spans="1:10" s="64" customFormat="1" ht="12" customHeight="1" thickBot="1">
      <c r="A108" s="72"/>
      <c r="B108" s="63"/>
      <c r="C108" s="24"/>
      <c r="D108" s="32"/>
      <c r="E108" s="57"/>
      <c r="F108" s="30"/>
    </row>
    <row r="109" spans="1:10" s="64" customFormat="1" ht="27" customHeight="1" thickTop="1" thickBot="1">
      <c r="A109" s="90"/>
      <c r="B109" s="63" t="s">
        <v>33</v>
      </c>
      <c r="C109" s="474" t="str">
        <f>+B72</f>
        <v>FAUX PLAFOND</v>
      </c>
      <c r="D109" s="475"/>
      <c r="E109" s="476"/>
      <c r="F109" s="307"/>
    </row>
    <row r="110" spans="1:10" s="64" customFormat="1" ht="12" customHeight="1" thickTop="1" thickBot="1">
      <c r="A110" s="90"/>
      <c r="B110" s="63"/>
      <c r="C110" s="69"/>
      <c r="D110" s="32"/>
      <c r="E110" s="317"/>
      <c r="F110" s="30"/>
    </row>
    <row r="111" spans="1:10" s="64" customFormat="1" ht="30" customHeight="1" thickTop="1" thickBot="1">
      <c r="A111" s="477" t="s">
        <v>63</v>
      </c>
      <c r="B111" s="478"/>
      <c r="C111" s="478"/>
      <c r="D111" s="478"/>
      <c r="E111" s="479"/>
      <c r="F111" s="102"/>
    </row>
    <row r="112" spans="1:10" s="64" customFormat="1" ht="12" customHeight="1" thickTop="1">
      <c r="A112" s="103"/>
      <c r="B112" s="104"/>
      <c r="C112" s="14"/>
      <c r="D112" s="47"/>
      <c r="E112" s="105"/>
      <c r="F112" s="195"/>
    </row>
    <row r="113" spans="1:9" s="64" customFormat="1" ht="12" customHeight="1">
      <c r="A113" s="103"/>
      <c r="B113" s="104"/>
      <c r="C113" s="14"/>
      <c r="D113" s="47"/>
      <c r="E113" s="105"/>
      <c r="F113" s="195"/>
    </row>
    <row r="114" spans="1:9" s="64" customFormat="1" ht="12" customHeight="1">
      <c r="A114" s="107" t="s">
        <v>64</v>
      </c>
      <c r="B114" s="104"/>
      <c r="C114" s="14"/>
      <c r="D114" s="47"/>
      <c r="E114" s="105"/>
      <c r="F114" s="195"/>
    </row>
    <row r="115" spans="1:9" s="64" customFormat="1" ht="12" customHeight="1">
      <c r="A115" s="103"/>
      <c r="B115" s="104"/>
      <c r="C115" s="14"/>
      <c r="D115" s="47"/>
      <c r="E115" s="105"/>
      <c r="F115" s="195"/>
    </row>
    <row r="116" spans="1:9" s="46" customFormat="1" ht="15">
      <c r="A116" s="103"/>
      <c r="B116" s="104"/>
      <c r="C116" s="14"/>
      <c r="D116" s="546"/>
      <c r="E116" s="546"/>
      <c r="F116" s="298"/>
    </row>
    <row r="117" spans="1:9" s="46" customFormat="1">
      <c r="A117" s="103"/>
      <c r="B117" s="104"/>
      <c r="C117" s="14"/>
      <c r="D117" s="111"/>
      <c r="E117" s="111"/>
      <c r="F117" s="112"/>
    </row>
    <row r="118" spans="1:9" s="89" customFormat="1" ht="20.100000000000001" customHeight="1">
      <c r="A118" s="103"/>
      <c r="B118" s="104"/>
      <c r="C118" s="14"/>
      <c r="D118" s="47"/>
      <c r="E118" s="105"/>
      <c r="F118" s="195"/>
    </row>
    <row r="119" spans="1:9" s="46" customFormat="1" ht="15" customHeight="1">
      <c r="A119" s="103"/>
      <c r="B119" s="104"/>
      <c r="C119" s="14"/>
      <c r="D119" s="47"/>
      <c r="E119" s="105"/>
      <c r="F119" s="195"/>
    </row>
    <row r="120" spans="1:9" s="64" customFormat="1" ht="12" customHeight="1">
      <c r="A120" s="103"/>
      <c r="B120" s="104"/>
      <c r="C120" s="14"/>
      <c r="D120" s="47"/>
      <c r="E120" s="105"/>
      <c r="F120" s="195"/>
    </row>
    <row r="121" spans="1:9" s="64" customFormat="1" ht="12" customHeight="1">
      <c r="A121" s="103"/>
      <c r="B121" s="104"/>
      <c r="C121" s="14"/>
      <c r="D121" s="47"/>
      <c r="E121" s="105"/>
      <c r="F121" s="195"/>
    </row>
    <row r="122" spans="1:9" s="64" customFormat="1" ht="12" customHeight="1">
      <c r="A122" s="103"/>
      <c r="B122" s="104"/>
      <c r="C122" s="14"/>
      <c r="D122" s="47"/>
      <c r="E122" s="105"/>
      <c r="F122" s="195"/>
    </row>
    <row r="123" spans="1:9" s="46" customFormat="1" ht="27" customHeight="1">
      <c r="A123" s="103"/>
      <c r="B123" s="104"/>
      <c r="C123" s="14"/>
      <c r="D123" s="47"/>
      <c r="E123" s="105"/>
      <c r="F123" s="195"/>
    </row>
    <row r="124" spans="1:9" s="46" customFormat="1">
      <c r="A124" s="103"/>
      <c r="B124" s="104"/>
      <c r="C124" s="14"/>
      <c r="D124" s="47"/>
      <c r="E124" s="105"/>
      <c r="F124" s="195"/>
    </row>
    <row r="125" spans="1:9" s="46" customFormat="1" ht="30" customHeight="1">
      <c r="A125" s="103"/>
      <c r="B125" s="104"/>
      <c r="C125" s="14"/>
      <c r="D125" s="47"/>
      <c r="E125" s="105"/>
      <c r="F125" s="195"/>
    </row>
    <row r="126" spans="1:9" ht="15">
      <c r="H126" s="108"/>
      <c r="I126" s="109"/>
    </row>
    <row r="127" spans="1:9">
      <c r="H127" s="111"/>
      <c r="I127" s="112"/>
    </row>
  </sheetData>
  <mergeCells count="14">
    <mergeCell ref="E9:F9"/>
    <mergeCell ref="A1:F1"/>
    <mergeCell ref="A2:F2"/>
    <mergeCell ref="A3:F3"/>
    <mergeCell ref="A4:F4"/>
    <mergeCell ref="E8:F8"/>
    <mergeCell ref="A111:E111"/>
    <mergeCell ref="D116:E116"/>
    <mergeCell ref="E11:F11"/>
    <mergeCell ref="C32:E32"/>
    <mergeCell ref="B34:B38"/>
    <mergeCell ref="C44:E44"/>
    <mergeCell ref="C70:E70"/>
    <mergeCell ref="C109:E109"/>
  </mergeCells>
  <conditionalFormatting sqref="E10">
    <cfRule type="cellIs" dxfId="50" priority="4" operator="equal">
      <formula>0</formula>
    </cfRule>
  </conditionalFormatting>
  <conditionalFormatting sqref="E42">
    <cfRule type="cellIs" dxfId="49" priority="3" operator="equal">
      <formula>0</formula>
    </cfRule>
  </conditionalFormatting>
  <conditionalFormatting sqref="E48:E68">
    <cfRule type="cellIs" dxfId="48" priority="2" operator="equal">
      <formula>0</formula>
    </cfRule>
  </conditionalFormatting>
  <conditionalFormatting sqref="E74:E78 E81:E87 E90 E93 E96:E100 E103:E107">
    <cfRule type="cellIs" dxfId="47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0" max="5" man="1"/>
    <brk id="101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709A-2393-4695-B4B1-3737DCDF6232}">
  <sheetPr codeName="Feuil79">
    <pageSetUpPr fitToPage="1"/>
  </sheetPr>
  <dimension ref="A1:F93"/>
  <sheetViews>
    <sheetView topLeftCell="A64" zoomScaleNormal="100" zoomScaleSheetLayoutView="100" workbookViewId="0">
      <selection activeCell="L94" sqref="L94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06" customWidth="1"/>
    <col min="7" max="16384" width="11.42578125" style="14"/>
  </cols>
  <sheetData>
    <row r="1" spans="1:6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customFormat="1" ht="33.950000000000003" customHeight="1" thickTop="1" thickBot="1">
      <c r="A3" s="489" t="s">
        <v>498</v>
      </c>
      <c r="B3" s="490"/>
      <c r="C3" s="490"/>
      <c r="D3" s="490"/>
      <c r="E3" s="490"/>
      <c r="F3" s="491"/>
    </row>
    <row r="4" spans="1:6" customFormat="1" ht="33.950000000000003" customHeight="1" thickTop="1" thickBot="1">
      <c r="A4" s="553" t="s">
        <v>499</v>
      </c>
      <c r="B4" s="554"/>
      <c r="C4" s="554"/>
      <c r="D4" s="554"/>
      <c r="E4" s="554"/>
      <c r="F4" s="555"/>
    </row>
    <row r="5" spans="1:6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.75" thickTop="1">
      <c r="A6" s="8"/>
      <c r="B6" s="9"/>
      <c r="C6" s="10"/>
      <c r="D6" s="53"/>
      <c r="E6" s="54"/>
      <c r="F6" s="368"/>
    </row>
    <row r="7" spans="1:6" s="21" customFormat="1" ht="20.100000000000001" customHeight="1">
      <c r="A7" s="15">
        <v>10.1</v>
      </c>
      <c r="B7" s="58" t="s">
        <v>10</v>
      </c>
      <c r="C7" s="17"/>
      <c r="D7" s="18"/>
      <c r="E7" s="19"/>
      <c r="F7" s="20"/>
    </row>
    <row r="8" spans="1:6" customFormat="1" ht="12" customHeight="1">
      <c r="A8" s="22">
        <f>+A7+0.001</f>
        <v>10.100999999999999</v>
      </c>
      <c r="B8" s="23" t="s">
        <v>11</v>
      </c>
      <c r="C8" s="24" t="s">
        <v>12</v>
      </c>
      <c r="D8" s="32">
        <v>1</v>
      </c>
      <c r="E8" s="481" t="s">
        <v>15</v>
      </c>
      <c r="F8" s="482"/>
    </row>
    <row r="9" spans="1:6" customFormat="1" ht="24">
      <c r="A9" s="22">
        <f>+A8+0.001</f>
        <v>10.101999999999999</v>
      </c>
      <c r="B9" s="23" t="s">
        <v>14</v>
      </c>
      <c r="C9" s="24" t="s">
        <v>12</v>
      </c>
      <c r="D9" s="32">
        <v>1</v>
      </c>
      <c r="E9" s="481" t="s">
        <v>67</v>
      </c>
      <c r="F9" s="482"/>
    </row>
    <row r="10" spans="1:6" customFormat="1" ht="12" customHeight="1">
      <c r="A10" s="22">
        <f>+A9+0.001</f>
        <v>10.102999999999998</v>
      </c>
      <c r="B10" s="23" t="s">
        <v>68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customFormat="1" ht="12" customHeight="1">
      <c r="A12" s="22"/>
      <c r="B12" s="56"/>
      <c r="C12" s="24"/>
      <c r="D12" s="32"/>
      <c r="E12" s="57"/>
      <c r="F12" s="30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19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25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28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30</v>
      </c>
      <c r="C25" s="41"/>
      <c r="D25" s="25"/>
      <c r="E25" s="42"/>
      <c r="F25" s="43"/>
    </row>
    <row r="26" spans="1:6" customFormat="1" ht="12" customHeight="1">
      <c r="A26" s="39"/>
      <c r="B26" s="40" t="s">
        <v>31</v>
      </c>
      <c r="C26" s="41"/>
      <c r="D26" s="25"/>
      <c r="E26" s="42"/>
      <c r="F26" s="43"/>
    </row>
    <row r="27" spans="1:6" customFormat="1" ht="12" customHeight="1">
      <c r="A27" s="39"/>
      <c r="B27" s="40" t="s">
        <v>32</v>
      </c>
      <c r="C27" s="41"/>
      <c r="D27" s="25"/>
      <c r="E27" s="42"/>
      <c r="F27" s="43"/>
    </row>
    <row r="28" spans="1:6" customFormat="1" ht="12" customHeight="1">
      <c r="A28" s="39"/>
      <c r="B28" s="40" t="s">
        <v>34</v>
      </c>
      <c r="C28" s="41"/>
      <c r="D28" s="25"/>
      <c r="E28" s="42"/>
      <c r="F28" s="43"/>
    </row>
    <row r="29" spans="1:6" customFormat="1" ht="12" customHeight="1">
      <c r="A29" s="39"/>
      <c r="B29" s="40" t="s">
        <v>35</v>
      </c>
      <c r="C29" s="41"/>
      <c r="D29" s="25"/>
      <c r="E29" s="42"/>
      <c r="F29" s="43"/>
    </row>
    <row r="30" spans="1:6" customFormat="1" ht="12" customHeight="1">
      <c r="A30" s="39"/>
      <c r="B30" s="40" t="s">
        <v>36</v>
      </c>
      <c r="C30" s="41"/>
      <c r="D30" s="25"/>
      <c r="E30" s="42"/>
      <c r="F30" s="43"/>
    </row>
    <row r="31" spans="1:6" s="64" customFormat="1" ht="15.75" thickBot="1">
      <c r="A31" s="22"/>
      <c r="B31" s="63"/>
      <c r="C31" s="24"/>
      <c r="D31" s="77"/>
      <c r="E31" s="84"/>
      <c r="F31" s="79"/>
    </row>
    <row r="32" spans="1:6" ht="27" customHeight="1" thickTop="1" thickBot="1">
      <c r="A32" s="22"/>
      <c r="B32" s="50"/>
      <c r="C32" s="550" t="str">
        <f>B7</f>
        <v>TRAVAUX PRELIMINAIRES</v>
      </c>
      <c r="D32" s="551"/>
      <c r="E32" s="552"/>
      <c r="F32" s="51"/>
    </row>
    <row r="33" spans="1:6" s="1" customFormat="1" ht="16.5" thickTop="1" thickBot="1">
      <c r="A33" s="39"/>
      <c r="B33" s="52"/>
      <c r="C33" s="44"/>
      <c r="D33" s="53"/>
      <c r="E33" s="54"/>
      <c r="F33" s="55"/>
    </row>
    <row r="34" spans="1:6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6" s="1" customFormat="1" ht="15">
      <c r="A35" s="39"/>
      <c r="B35" s="484"/>
      <c r="C35" s="44"/>
      <c r="D35" s="32"/>
      <c r="E35" s="29"/>
      <c r="F35" s="26"/>
    </row>
    <row r="36" spans="1:6" s="1" customFormat="1" ht="15">
      <c r="A36" s="39"/>
      <c r="B36" s="484"/>
      <c r="C36" s="44"/>
      <c r="D36" s="32"/>
      <c r="E36" s="29"/>
      <c r="F36" s="26"/>
    </row>
    <row r="37" spans="1:6" s="1" customFormat="1" ht="15" customHeight="1">
      <c r="A37" s="39" t="s">
        <v>33</v>
      </c>
      <c r="B37" s="484"/>
      <c r="C37" s="44"/>
      <c r="D37" s="32"/>
      <c r="E37" s="29"/>
      <c r="F37" s="26"/>
    </row>
    <row r="38" spans="1:6" s="1" customFormat="1" ht="15.75" thickBot="1">
      <c r="A38" s="39"/>
      <c r="B38" s="485"/>
      <c r="C38" s="44"/>
      <c r="D38" s="32"/>
      <c r="E38" s="29"/>
      <c r="F38" s="26"/>
    </row>
    <row r="39" spans="1:6" s="1" customFormat="1" ht="15.75" thickTop="1">
      <c r="A39" s="39"/>
      <c r="B39" s="56"/>
      <c r="C39" s="44"/>
      <c r="D39" s="32"/>
      <c r="E39" s="57"/>
      <c r="F39" s="30"/>
    </row>
    <row r="40" spans="1:6" s="249" customFormat="1" ht="12.75">
      <c r="A40" s="15">
        <f>A7+0.1</f>
        <v>10.199999999999999</v>
      </c>
      <c r="B40" s="58" t="s">
        <v>38</v>
      </c>
      <c r="C40" s="17"/>
      <c r="D40" s="18"/>
      <c r="E40" s="59"/>
      <c r="F40" s="60"/>
    </row>
    <row r="41" spans="1:6" s="252" customFormat="1" ht="15" customHeight="1">
      <c r="A41" s="22">
        <f>A40+0.001</f>
        <v>10.200999999999999</v>
      </c>
      <c r="B41" s="61" t="s">
        <v>39</v>
      </c>
      <c r="C41" s="24"/>
      <c r="D41" s="32"/>
      <c r="E41" s="62"/>
      <c r="F41" s="30"/>
    </row>
    <row r="42" spans="1:6" s="64" customFormat="1" ht="12" customHeight="1">
      <c r="A42" s="22"/>
      <c r="B42" s="63" t="s">
        <v>151</v>
      </c>
      <c r="C42" s="24" t="s">
        <v>41</v>
      </c>
      <c r="D42" s="32">
        <f>SUM(D62,D65,D66,D69)</f>
        <v>113.5</v>
      </c>
      <c r="E42" s="29"/>
      <c r="F42" s="30"/>
    </row>
    <row r="43" spans="1:6" s="252" customFormat="1" ht="12.75" thickBot="1">
      <c r="A43" s="22"/>
      <c r="B43" s="63"/>
      <c r="C43" s="73"/>
      <c r="D43" s="32"/>
      <c r="E43" s="57"/>
      <c r="F43" s="30"/>
    </row>
    <row r="44" spans="1:6" ht="27" customHeight="1" thickTop="1" thickBot="1">
      <c r="A44" s="72"/>
      <c r="B44" s="63"/>
      <c r="C44" s="474" t="str">
        <f>B40</f>
        <v>DEMOLITION - DEPOSE</v>
      </c>
      <c r="D44" s="475"/>
      <c r="E44" s="476"/>
      <c r="F44" s="51"/>
    </row>
    <row r="45" spans="1:6" ht="12.75" thickTop="1">
      <c r="A45" s="39"/>
      <c r="B45" s="81"/>
      <c r="C45" s="24"/>
      <c r="D45" s="32"/>
      <c r="E45" s="57"/>
      <c r="F45" s="30"/>
    </row>
    <row r="46" spans="1:6" s="21" customFormat="1" ht="12.75">
      <c r="A46" s="15">
        <f>A40+0.1</f>
        <v>10.299999999999999</v>
      </c>
      <c r="B46" s="58" t="s">
        <v>42</v>
      </c>
      <c r="C46" s="17"/>
      <c r="D46" s="18"/>
      <c r="E46" s="59"/>
      <c r="F46" s="60"/>
    </row>
    <row r="47" spans="1:6" ht="15" customHeight="1">
      <c r="A47" s="22">
        <f>A46+0.001</f>
        <v>10.300999999999998</v>
      </c>
      <c r="B47" s="61" t="s">
        <v>43</v>
      </c>
      <c r="C47" s="69"/>
      <c r="D47" s="32"/>
      <c r="E47" s="70"/>
      <c r="F47" s="71"/>
    </row>
    <row r="48" spans="1:6" s="64" customFormat="1" ht="12" customHeight="1">
      <c r="A48" s="39"/>
      <c r="B48" s="63" t="s">
        <v>500</v>
      </c>
      <c r="C48" s="24" t="s">
        <v>41</v>
      </c>
      <c r="D48" s="32">
        <f>(16.8*2.7)-((2*1.5*1.7)+(2*1*2.1))</f>
        <v>36.06</v>
      </c>
      <c r="E48" s="29"/>
      <c r="F48" s="30"/>
    </row>
    <row r="49" spans="1:6" s="64" customFormat="1" ht="12" customHeight="1">
      <c r="A49" s="39"/>
      <c r="B49" s="63" t="s">
        <v>501</v>
      </c>
      <c r="C49" s="24" t="s">
        <v>41</v>
      </c>
      <c r="D49" s="32">
        <f>(38.9*2.7)-((4*2.4*1.7)+(1.5*2.7)+(1*2.1))</f>
        <v>82.56</v>
      </c>
      <c r="E49" s="29"/>
      <c r="F49" s="30"/>
    </row>
    <row r="50" spans="1:6" s="64" customFormat="1" ht="12" customHeight="1">
      <c r="A50" s="39"/>
      <c r="B50" s="63" t="s">
        <v>502</v>
      </c>
      <c r="C50" s="24" t="s">
        <v>41</v>
      </c>
      <c r="D50" s="32">
        <f>(16.8*2.7)-((2.4*1.7)+(2*1*2.7))</f>
        <v>35.88000000000001</v>
      </c>
      <c r="E50" s="29"/>
      <c r="F50" s="30"/>
    </row>
    <row r="51" spans="1:6" s="64" customFormat="1" ht="12" customHeight="1" thickBot="1">
      <c r="A51" s="163"/>
      <c r="B51" s="75" t="s">
        <v>503</v>
      </c>
      <c r="C51" s="83" t="s">
        <v>41</v>
      </c>
      <c r="D51" s="77">
        <f>(14.8*2.7)-(2*1*2.1)</f>
        <v>35.760000000000005</v>
      </c>
      <c r="E51" s="78"/>
      <c r="F51" s="79"/>
    </row>
    <row r="52" spans="1:6" s="64" customFormat="1" ht="12" customHeight="1" thickTop="1">
      <c r="A52" s="167"/>
      <c r="B52" s="81" t="s">
        <v>453</v>
      </c>
      <c r="C52" s="10" t="s">
        <v>41</v>
      </c>
      <c r="D52" s="11">
        <f>(17.88*2.7)-(2*1*2.1)</f>
        <v>44.076000000000001</v>
      </c>
      <c r="E52" s="12"/>
      <c r="F52" s="13"/>
    </row>
    <row r="53" spans="1:6" s="64" customFormat="1" ht="12" customHeight="1">
      <c r="A53" s="39"/>
      <c r="B53" s="63" t="s">
        <v>154</v>
      </c>
      <c r="C53" s="24" t="s">
        <v>41</v>
      </c>
      <c r="D53" s="32">
        <f>(26.58*2.7)-((2.4*1.7)+(1*2.1)+(1*2.7)+(2*1.5*1.7))</f>
        <v>57.786000000000008</v>
      </c>
      <c r="E53" s="29"/>
      <c r="F53" s="30"/>
    </row>
    <row r="54" spans="1:6" s="64" customFormat="1" ht="12" customHeight="1">
      <c r="A54" s="39"/>
      <c r="B54" s="63" t="s">
        <v>175</v>
      </c>
      <c r="C54" s="24" t="s">
        <v>41</v>
      </c>
      <c r="D54" s="32">
        <f>(16.76*2.7)-((4*1*2.1)+(1.5*2.1))</f>
        <v>33.702000000000012</v>
      </c>
      <c r="E54" s="29"/>
      <c r="F54" s="30"/>
    </row>
    <row r="55" spans="1:6" s="64" customFormat="1" ht="12" customHeight="1">
      <c r="A55" s="39"/>
      <c r="B55" s="63" t="s">
        <v>177</v>
      </c>
      <c r="C55" s="24" t="s">
        <v>41</v>
      </c>
      <c r="D55" s="32">
        <f>(23.08*2.7)-((1.5*2.7)+(1.5*1.7)+(1*2.1))</f>
        <v>53.616</v>
      </c>
      <c r="E55" s="29"/>
      <c r="F55" s="30"/>
    </row>
    <row r="56" spans="1:6" s="64" customFormat="1" ht="12" customHeight="1">
      <c r="A56" s="39"/>
      <c r="B56" s="63" t="s">
        <v>178</v>
      </c>
      <c r="C56" s="24" t="s">
        <v>41</v>
      </c>
      <c r="D56" s="32">
        <f>(10.34*2.7)-((0.8*0.6)+(1*2.1))</f>
        <v>25.338000000000001</v>
      </c>
      <c r="E56" s="29"/>
      <c r="F56" s="30"/>
    </row>
    <row r="57" spans="1:6" s="64" customFormat="1" ht="12" customHeight="1" thickBot="1">
      <c r="A57" s="415"/>
      <c r="B57" s="416"/>
      <c r="C57" s="417"/>
      <c r="D57" s="417"/>
      <c r="E57" s="417"/>
      <c r="F57" s="418"/>
    </row>
    <row r="58" spans="1:6" ht="27" customHeight="1" thickTop="1" thickBot="1">
      <c r="A58" s="419"/>
      <c r="B58" s="50"/>
      <c r="C58" s="474" t="str">
        <f>B46</f>
        <v>PLATRERIE</v>
      </c>
      <c r="D58" s="475"/>
      <c r="E58" s="476"/>
      <c r="F58" s="51"/>
    </row>
    <row r="59" spans="1:6" ht="12.75" thickTop="1">
      <c r="A59" s="39"/>
      <c r="B59" s="66"/>
      <c r="C59" s="24"/>
      <c r="D59" s="32"/>
      <c r="E59" s="57"/>
      <c r="F59" s="30"/>
    </row>
    <row r="60" spans="1:6" s="89" customFormat="1" ht="20.100000000000001" customHeight="1">
      <c r="A60" s="15">
        <f>A46+0.1</f>
        <v>10.399999999999999</v>
      </c>
      <c r="B60" s="58" t="s">
        <v>53</v>
      </c>
      <c r="C60" s="17"/>
      <c r="D60" s="18"/>
      <c r="E60" s="349"/>
      <c r="F60" s="60"/>
    </row>
    <row r="61" spans="1:6" s="274" customFormat="1" ht="12.75">
      <c r="A61" s="22"/>
      <c r="B61" s="61" t="s">
        <v>54</v>
      </c>
      <c r="C61" s="44"/>
      <c r="D61" s="32"/>
      <c r="E61" s="349"/>
      <c r="F61" s="30"/>
    </row>
    <row r="62" spans="1:6" s="64" customFormat="1" ht="12" customHeight="1">
      <c r="A62" s="39"/>
      <c r="B62" s="63" t="s">
        <v>181</v>
      </c>
      <c r="C62" s="24" t="s">
        <v>41</v>
      </c>
      <c r="D62" s="32">
        <v>32.799999999999997</v>
      </c>
      <c r="E62" s="29"/>
      <c r="F62" s="30"/>
    </row>
    <row r="63" spans="1:6" s="64" customFormat="1" ht="12" customHeight="1">
      <c r="A63" s="72"/>
      <c r="B63" s="61"/>
      <c r="C63" s="24"/>
      <c r="D63" s="32"/>
      <c r="E63" s="349"/>
      <c r="F63" s="30"/>
    </row>
    <row r="64" spans="1:6" s="274" customFormat="1" ht="12.75">
      <c r="A64" s="22"/>
      <c r="B64" s="61" t="s">
        <v>132</v>
      </c>
      <c r="C64" s="24"/>
      <c r="D64" s="32"/>
      <c r="E64" s="349"/>
      <c r="F64" s="30"/>
    </row>
    <row r="65" spans="1:6" s="64" customFormat="1" ht="12" customHeight="1">
      <c r="A65" s="72"/>
      <c r="B65" s="63" t="s">
        <v>193</v>
      </c>
      <c r="C65" s="24" t="s">
        <v>41</v>
      </c>
      <c r="D65" s="32">
        <v>5.9</v>
      </c>
      <c r="E65" s="29"/>
      <c r="F65" s="30"/>
    </row>
    <row r="66" spans="1:6" s="64" customFormat="1" ht="12" customHeight="1">
      <c r="A66" s="72"/>
      <c r="B66" s="63" t="s">
        <v>199</v>
      </c>
      <c r="C66" s="24" t="s">
        <v>41</v>
      </c>
      <c r="D66" s="32">
        <v>34.6</v>
      </c>
      <c r="E66" s="29"/>
      <c r="F66" s="30"/>
    </row>
    <row r="67" spans="1:6" s="64" customFormat="1" ht="12" customHeight="1">
      <c r="A67" s="72"/>
      <c r="B67" s="63"/>
      <c r="C67" s="24"/>
      <c r="D67" s="32"/>
      <c r="E67" s="349"/>
      <c r="F67" s="30"/>
    </row>
    <row r="68" spans="1:6" s="274" customFormat="1" ht="15" customHeight="1">
      <c r="A68" s="22"/>
      <c r="B68" s="61" t="s">
        <v>202</v>
      </c>
      <c r="C68" s="24"/>
      <c r="D68" s="32"/>
      <c r="E68" s="349"/>
      <c r="F68" s="30"/>
    </row>
    <row r="69" spans="1:6" s="64" customFormat="1" ht="12" customHeight="1">
      <c r="A69" s="72"/>
      <c r="B69" s="63" t="s">
        <v>154</v>
      </c>
      <c r="C69" s="24" t="s">
        <v>41</v>
      </c>
      <c r="D69" s="32">
        <v>40.200000000000003</v>
      </c>
      <c r="E69" s="29"/>
      <c r="F69" s="30"/>
    </row>
    <row r="70" spans="1:6" s="64" customFormat="1" ht="12" customHeight="1">
      <c r="A70" s="72"/>
      <c r="B70" s="63" t="s">
        <v>504</v>
      </c>
      <c r="C70" s="24" t="s">
        <v>41</v>
      </c>
      <c r="D70" s="32">
        <v>17.600000000000001</v>
      </c>
      <c r="E70" s="29"/>
      <c r="F70" s="30"/>
    </row>
    <row r="71" spans="1:6" s="64" customFormat="1" ht="12" customHeight="1">
      <c r="A71" s="72"/>
      <c r="B71" s="63" t="s">
        <v>503</v>
      </c>
      <c r="C71" s="24" t="s">
        <v>41</v>
      </c>
      <c r="D71" s="32">
        <v>13.2</v>
      </c>
      <c r="E71" s="29"/>
      <c r="F71" s="30"/>
    </row>
    <row r="72" spans="1:6" s="64" customFormat="1" ht="12" customHeight="1">
      <c r="A72" s="72"/>
      <c r="B72" s="63" t="s">
        <v>502</v>
      </c>
      <c r="C72" s="24" t="s">
        <v>41</v>
      </c>
      <c r="D72" s="32">
        <v>17.600000000000001</v>
      </c>
      <c r="E72" s="29"/>
      <c r="F72" s="30"/>
    </row>
    <row r="73" spans="1:6" s="64" customFormat="1" ht="12" customHeight="1">
      <c r="A73" s="72"/>
      <c r="B73" s="63" t="s">
        <v>453</v>
      </c>
      <c r="C73" s="24" t="s">
        <v>41</v>
      </c>
      <c r="D73" s="32">
        <v>20</v>
      </c>
      <c r="E73" s="29"/>
      <c r="F73" s="30"/>
    </row>
    <row r="74" spans="1:6" s="64" customFormat="1" ht="15">
      <c r="A74" s="72"/>
      <c r="B74" s="63"/>
      <c r="C74" s="24"/>
      <c r="D74" s="32"/>
      <c r="E74" s="349"/>
      <c r="F74" s="26"/>
    </row>
    <row r="75" spans="1:6" s="274" customFormat="1" ht="15" customHeight="1">
      <c r="A75" s="22"/>
      <c r="B75" s="61" t="s">
        <v>141</v>
      </c>
      <c r="C75" s="24"/>
      <c r="D75" s="32"/>
      <c r="E75" s="349"/>
      <c r="F75" s="30"/>
    </row>
    <row r="76" spans="1:6" s="64" customFormat="1" ht="12" customHeight="1">
      <c r="A76" s="72"/>
      <c r="B76" s="63" t="s">
        <v>505</v>
      </c>
      <c r="C76" s="24" t="s">
        <v>41</v>
      </c>
      <c r="D76" s="32">
        <v>93.8</v>
      </c>
      <c r="E76" s="29"/>
      <c r="F76" s="30"/>
    </row>
    <row r="77" spans="1:6" s="64" customFormat="1" ht="15.75" thickBot="1">
      <c r="A77" s="72"/>
      <c r="B77" s="63"/>
      <c r="C77" s="24"/>
      <c r="D77" s="32"/>
      <c r="E77" s="349"/>
      <c r="F77" s="26"/>
    </row>
    <row r="78" spans="1:6" s="46" customFormat="1" ht="27" customHeight="1" thickTop="1" thickBot="1">
      <c r="A78" s="90"/>
      <c r="B78" s="63" t="s">
        <v>33</v>
      </c>
      <c r="C78" s="474" t="str">
        <f>B60</f>
        <v>FAUX PLAFOND</v>
      </c>
      <c r="D78" s="475"/>
      <c r="E78" s="476"/>
      <c r="F78" s="51"/>
    </row>
    <row r="79" spans="1:6" s="46" customFormat="1" ht="12.75" thickTop="1">
      <c r="A79" s="90"/>
      <c r="B79" s="63"/>
      <c r="C79" s="69"/>
      <c r="D79" s="53"/>
      <c r="E79" s="420"/>
      <c r="F79" s="30"/>
    </row>
    <row r="80" spans="1:6" s="91" customFormat="1" ht="20.100000000000001" customHeight="1">
      <c r="A80" s="15">
        <v>10.5</v>
      </c>
      <c r="B80" s="58" t="s">
        <v>205</v>
      </c>
      <c r="C80" s="93"/>
      <c r="D80" s="18"/>
      <c r="E80" s="94"/>
      <c r="F80" s="95"/>
    </row>
    <row r="81" spans="1:6" customFormat="1" ht="15">
      <c r="A81" s="22">
        <v>10.502000000000001</v>
      </c>
      <c r="B81" s="61" t="s">
        <v>209</v>
      </c>
      <c r="C81" s="44"/>
      <c r="D81" s="32"/>
      <c r="E81" s="96"/>
      <c r="F81" s="97"/>
    </row>
    <row r="82" spans="1:6" s="64" customFormat="1" ht="12" customHeight="1">
      <c r="A82" s="39"/>
      <c r="B82" s="63" t="s">
        <v>213</v>
      </c>
      <c r="C82" s="24" t="s">
        <v>61</v>
      </c>
      <c r="D82" s="32">
        <f>4*2.7</f>
        <v>10.8</v>
      </c>
      <c r="E82" s="29"/>
      <c r="F82" s="30"/>
    </row>
    <row r="83" spans="1:6" s="64" customFormat="1" ht="12" customHeight="1" thickBot="1">
      <c r="A83" s="39"/>
      <c r="B83" s="66"/>
      <c r="C83" s="24"/>
      <c r="D83" s="77"/>
      <c r="E83" s="84"/>
      <c r="F83" s="30"/>
    </row>
    <row r="84" spans="1:6" s="46" customFormat="1" ht="27" customHeight="1" thickTop="1" thickBot="1">
      <c r="A84" s="90"/>
      <c r="B84" s="81"/>
      <c r="C84" s="474" t="str">
        <f>B80</f>
        <v>CLOISON / CONDUIT</v>
      </c>
      <c r="D84" s="475"/>
      <c r="E84" s="476"/>
      <c r="F84" s="51"/>
    </row>
    <row r="85" spans="1:6" s="46" customFormat="1" ht="13.5" thickTop="1" thickBot="1">
      <c r="A85" s="90"/>
      <c r="B85" s="81"/>
      <c r="C85" s="69"/>
      <c r="D85" s="421"/>
      <c r="E85" s="422"/>
      <c r="F85" s="71"/>
    </row>
    <row r="86" spans="1:6" s="46" customFormat="1" ht="30" customHeight="1" thickTop="1" thickBot="1">
      <c r="A86" s="477" t="s">
        <v>63</v>
      </c>
      <c r="B86" s="478"/>
      <c r="C86" s="478"/>
      <c r="D86" s="478"/>
      <c r="E86" s="479"/>
      <c r="F86" s="102"/>
    </row>
    <row r="87" spans="1:6" ht="12.75" thickTop="1"/>
    <row r="89" spans="1:6">
      <c r="A89" s="107" t="s">
        <v>64</v>
      </c>
    </row>
    <row r="92" spans="1:6" ht="15">
      <c r="D92" s="480"/>
      <c r="E92" s="480"/>
      <c r="F92" s="298"/>
    </row>
    <row r="93" spans="1:6" ht="15">
      <c r="D93" s="111"/>
      <c r="E93" s="113"/>
      <c r="F93" s="299"/>
    </row>
  </sheetData>
  <mergeCells count="15">
    <mergeCell ref="E9:F9"/>
    <mergeCell ref="A1:F1"/>
    <mergeCell ref="A2:F2"/>
    <mergeCell ref="A3:F3"/>
    <mergeCell ref="A4:F4"/>
    <mergeCell ref="E8:F8"/>
    <mergeCell ref="C84:E84"/>
    <mergeCell ref="A86:E86"/>
    <mergeCell ref="D92:E92"/>
    <mergeCell ref="E11:F11"/>
    <mergeCell ref="C32:E32"/>
    <mergeCell ref="B34:B38"/>
    <mergeCell ref="C44:E44"/>
    <mergeCell ref="C58:E58"/>
    <mergeCell ref="C78:E78"/>
  </mergeCells>
  <conditionalFormatting sqref="E10">
    <cfRule type="cellIs" dxfId="46" priority="4" operator="equal">
      <formula>0</formula>
    </cfRule>
  </conditionalFormatting>
  <conditionalFormatting sqref="E42">
    <cfRule type="cellIs" dxfId="45" priority="5" operator="equal">
      <formula>0</formula>
    </cfRule>
  </conditionalFormatting>
  <conditionalFormatting sqref="E48:E56">
    <cfRule type="cellIs" dxfId="44" priority="3" operator="equal">
      <formula>0</formula>
    </cfRule>
  </conditionalFormatting>
  <conditionalFormatting sqref="E62 E65:E66 E69:E73 E76">
    <cfRule type="cellIs" dxfId="43" priority="2" operator="equal">
      <formula>0</formula>
    </cfRule>
  </conditionalFormatting>
  <conditionalFormatting sqref="E82">
    <cfRule type="cellIs" dxfId="42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F860A-AF4F-4ACF-92FF-5DB7A8D95B53}">
  <sheetPr codeName="Feuil80">
    <pageSetUpPr fitToPage="1"/>
  </sheetPr>
  <dimension ref="A1:J282"/>
  <sheetViews>
    <sheetView zoomScale="85" zoomScaleNormal="85" zoomScaleSheetLayoutView="85" workbookViewId="0">
      <selection activeCell="K20" sqref="K20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506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1"/>
      <c r="D13" s="32"/>
      <c r="E13" s="29"/>
      <c r="F13" s="26"/>
    </row>
    <row r="14" spans="1:6" customFormat="1" ht="12" customHeight="1">
      <c r="A14" s="39"/>
      <c r="B14" s="40" t="s">
        <v>508</v>
      </c>
      <c r="C14" s="41"/>
      <c r="D14" s="32"/>
      <c r="E14" s="29"/>
      <c r="F14" s="26"/>
    </row>
    <row r="15" spans="1:6" customFormat="1" ht="12" customHeight="1">
      <c r="A15" s="39"/>
      <c r="B15" s="40" t="s">
        <v>20</v>
      </c>
      <c r="C15" s="41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32"/>
      <c r="E17" s="29"/>
      <c r="F17" s="26"/>
    </row>
    <row r="18" spans="1:6" customFormat="1" ht="12" customHeight="1">
      <c r="A18" s="39"/>
      <c r="B18" s="40" t="s">
        <v>23</v>
      </c>
      <c r="C18" s="41"/>
      <c r="D18" s="32"/>
      <c r="E18" s="29"/>
      <c r="F18" s="26"/>
    </row>
    <row r="19" spans="1:6" customFormat="1" ht="12" customHeight="1">
      <c r="A19" s="39"/>
      <c r="B19" s="40" t="s">
        <v>24</v>
      </c>
      <c r="C19" s="41"/>
      <c r="D19" s="32"/>
      <c r="E19" s="29"/>
      <c r="F19" s="26"/>
    </row>
    <row r="20" spans="1:6" customFormat="1" ht="12" customHeight="1">
      <c r="A20" s="39"/>
      <c r="B20" s="40" t="s">
        <v>509</v>
      </c>
      <c r="C20" s="41"/>
      <c r="D20" s="32"/>
      <c r="E20" s="29"/>
      <c r="F20" s="26"/>
    </row>
    <row r="21" spans="1:6" customFormat="1" ht="12" customHeight="1">
      <c r="A21" s="39"/>
      <c r="B21" s="40" t="s">
        <v>26</v>
      </c>
      <c r="C21" s="41"/>
      <c r="D21" s="32"/>
      <c r="E21" s="29"/>
      <c r="F21" s="26"/>
    </row>
    <row r="22" spans="1:6" customFormat="1" ht="12" customHeight="1">
      <c r="A22" s="39"/>
      <c r="B22" s="40" t="s">
        <v>27</v>
      </c>
      <c r="C22" s="41"/>
      <c r="D22" s="32"/>
      <c r="E22" s="29"/>
      <c r="F22" s="26"/>
    </row>
    <row r="23" spans="1:6" customFormat="1" ht="12" customHeight="1">
      <c r="A23" s="39"/>
      <c r="B23" s="40" t="s">
        <v>510</v>
      </c>
      <c r="C23" s="41"/>
      <c r="D23" s="32"/>
      <c r="E23" s="29"/>
      <c r="F23" s="26"/>
    </row>
    <row r="24" spans="1:6" customFormat="1" ht="12" customHeight="1">
      <c r="A24" s="39"/>
      <c r="B24" s="40" t="s">
        <v>29</v>
      </c>
      <c r="C24" s="41"/>
      <c r="D24" s="32"/>
      <c r="E24" s="29"/>
      <c r="F24" s="26"/>
    </row>
    <row r="25" spans="1:6" customFormat="1" ht="12" customHeight="1">
      <c r="A25" s="39"/>
      <c r="B25" s="40" t="s">
        <v>31</v>
      </c>
      <c r="C25" s="41"/>
      <c r="D25" s="32"/>
      <c r="E25" s="29"/>
      <c r="F25" s="26"/>
    </row>
    <row r="26" spans="1:6" customFormat="1" ht="12" customHeight="1">
      <c r="A26" s="39"/>
      <c r="B26" s="40" t="s">
        <v>32</v>
      </c>
      <c r="C26" s="41"/>
      <c r="D26" s="32"/>
      <c r="E26" s="29"/>
      <c r="F26" s="26"/>
    </row>
    <row r="27" spans="1:6" customFormat="1" ht="12" customHeight="1">
      <c r="A27" s="39"/>
      <c r="B27" s="40" t="s">
        <v>34</v>
      </c>
      <c r="C27" s="41"/>
      <c r="D27" s="32"/>
      <c r="E27" s="29"/>
      <c r="F27" s="26"/>
    </row>
    <row r="28" spans="1:6" customFormat="1" ht="12" customHeight="1">
      <c r="A28" s="39"/>
      <c r="B28" s="40" t="s">
        <v>35</v>
      </c>
      <c r="C28" s="41"/>
      <c r="D28" s="32"/>
      <c r="E28" s="29"/>
      <c r="F28" s="26"/>
    </row>
    <row r="29" spans="1:6" ht="12" customHeight="1" thickBot="1">
      <c r="A29" s="22"/>
      <c r="B29" s="324"/>
      <c r="C29" s="310"/>
      <c r="D29" s="77"/>
      <c r="E29" s="78"/>
      <c r="F29" s="412"/>
    </row>
    <row r="30" spans="1:6" ht="27" customHeight="1" thickTop="1" thickBot="1">
      <c r="A30" s="22"/>
      <c r="B30" s="50"/>
      <c r="C30" s="474" t="s">
        <v>10</v>
      </c>
      <c r="D30" s="475"/>
      <c r="E30" s="476"/>
      <c r="F30" s="51"/>
    </row>
    <row r="31" spans="1:6" ht="12" customHeight="1" thickTop="1" thickBot="1">
      <c r="A31" s="22"/>
      <c r="B31" s="393"/>
      <c r="C31" s="423"/>
      <c r="D31" s="53"/>
      <c r="E31" s="424"/>
      <c r="F31" s="425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>
        <f>A38+0.001</f>
        <v>10.200999999999999</v>
      </c>
      <c r="B39" s="61" t="s">
        <v>39</v>
      </c>
      <c r="C39" s="24"/>
      <c r="D39" s="32"/>
      <c r="E39" s="29"/>
      <c r="F39" s="26"/>
    </row>
    <row r="40" spans="1:7" s="64" customFormat="1" ht="12" customHeight="1">
      <c r="A40" s="39"/>
      <c r="B40" s="63" t="s">
        <v>511</v>
      </c>
      <c r="C40" s="24" t="s">
        <v>41</v>
      </c>
      <c r="D40" s="32">
        <v>7.07</v>
      </c>
      <c r="E40" s="29"/>
      <c r="F40" s="30"/>
      <c r="G40" s="1"/>
    </row>
    <row r="41" spans="1:7" s="64" customFormat="1" ht="12" customHeight="1" thickBot="1">
      <c r="A41" s="39"/>
      <c r="B41" s="66"/>
      <c r="C41" s="24"/>
      <c r="D41" s="77"/>
      <c r="E41" s="84"/>
      <c r="F41" s="30"/>
      <c r="G41" s="1"/>
    </row>
    <row r="42" spans="1:7" ht="27" customHeight="1" thickTop="1" thickBot="1">
      <c r="A42" s="22"/>
      <c r="B42" s="67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24"/>
      <c r="D43" s="53"/>
      <c r="E43" s="54"/>
      <c r="F43" s="26"/>
    </row>
    <row r="44" spans="1:7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308"/>
      <c r="F45" s="327"/>
    </row>
    <row r="46" spans="1:7" s="64" customFormat="1" ht="12" customHeight="1">
      <c r="A46" s="39"/>
      <c r="B46" s="63" t="s">
        <v>512</v>
      </c>
      <c r="C46" s="24" t="s">
        <v>41</v>
      </c>
      <c r="D46" s="32">
        <f>(9.54*2.3)-9.38</f>
        <v>12.561999999999996</v>
      </c>
      <c r="E46" s="29"/>
      <c r="F46" s="30"/>
      <c r="G46" s="1"/>
    </row>
    <row r="47" spans="1:7" s="64" customFormat="1" ht="12" customHeight="1" thickBot="1">
      <c r="A47" s="39"/>
      <c r="B47" s="66"/>
      <c r="C47" s="24"/>
      <c r="D47" s="77"/>
      <c r="E47" s="84"/>
      <c r="F47" s="30"/>
      <c r="G47" s="1"/>
    </row>
    <row r="48" spans="1:7" ht="27" customHeight="1" thickTop="1" thickBot="1">
      <c r="A48" s="22"/>
      <c r="B48" s="66"/>
      <c r="C48" s="474" t="s">
        <v>52</v>
      </c>
      <c r="D48" s="475"/>
      <c r="E48" s="476"/>
      <c r="F48" s="51"/>
    </row>
    <row r="49" spans="1:7" ht="12" customHeight="1" thickTop="1">
      <c r="A49" s="22"/>
      <c r="B49" s="66"/>
      <c r="C49" s="24"/>
      <c r="D49" s="378"/>
      <c r="E49" s="429"/>
      <c r="F49" s="309"/>
    </row>
    <row r="50" spans="1:7" s="46" customFormat="1" ht="12" customHeight="1" thickBot="1">
      <c r="A50" s="361"/>
      <c r="B50" s="75"/>
      <c r="C50" s="430"/>
      <c r="D50" s="77"/>
      <c r="E50" s="431"/>
      <c r="F50" s="432"/>
    </row>
    <row r="51" spans="1:7" s="89" customFormat="1" ht="20.100000000000001" customHeight="1" thickTop="1">
      <c r="A51" s="348">
        <f>A44+0.1</f>
        <v>10.399999999999999</v>
      </c>
      <c r="B51" s="433" t="s">
        <v>53</v>
      </c>
      <c r="C51" s="434"/>
      <c r="D51" s="435"/>
      <c r="E51" s="414"/>
      <c r="F51" s="436"/>
    </row>
    <row r="52" spans="1:7" s="46" customFormat="1" ht="15" customHeight="1">
      <c r="A52" s="22"/>
      <c r="B52" s="61" t="s">
        <v>132</v>
      </c>
      <c r="C52" s="24"/>
      <c r="D52" s="32"/>
      <c r="E52" s="29"/>
      <c r="F52" s="26"/>
    </row>
    <row r="53" spans="1:7" s="64" customFormat="1" ht="12" customHeight="1">
      <c r="A53" s="39"/>
      <c r="B53" s="63" t="s">
        <v>513</v>
      </c>
      <c r="C53" s="24" t="s">
        <v>41</v>
      </c>
      <c r="D53" s="32">
        <v>7.07</v>
      </c>
      <c r="E53" s="29"/>
      <c r="F53" s="30"/>
      <c r="G53" s="1"/>
    </row>
    <row r="54" spans="1:7" s="64" customFormat="1" ht="12" customHeight="1" thickBot="1">
      <c r="A54" s="39"/>
      <c r="B54" s="66"/>
      <c r="C54" s="24"/>
      <c r="D54" s="312"/>
      <c r="E54" s="84"/>
      <c r="F54" s="30"/>
      <c r="G54" s="1"/>
    </row>
    <row r="55" spans="1:7" s="46" customFormat="1" ht="27" customHeight="1" thickTop="1" thickBot="1">
      <c r="A55" s="90"/>
      <c r="B55" s="63" t="s">
        <v>33</v>
      </c>
      <c r="C55" s="474" t="str">
        <f>+B51</f>
        <v>FAUX PLAFOND</v>
      </c>
      <c r="D55" s="475"/>
      <c r="E55" s="476"/>
      <c r="F55" s="51"/>
    </row>
    <row r="56" spans="1:7" s="46" customFormat="1" ht="12" customHeight="1" thickTop="1" thickBot="1">
      <c r="A56" s="90"/>
      <c r="B56" s="63"/>
      <c r="C56" s="69"/>
      <c r="D56" s="53"/>
      <c r="E56" s="362"/>
      <c r="F56" s="30"/>
    </row>
    <row r="57" spans="1:7" s="46" customFormat="1" ht="30" customHeight="1" thickTop="1" thickBot="1">
      <c r="A57" s="477" t="s">
        <v>63</v>
      </c>
      <c r="B57" s="478"/>
      <c r="C57" s="478"/>
      <c r="D57" s="478"/>
      <c r="E57" s="479"/>
      <c r="F57" s="102"/>
    </row>
    <row r="58" spans="1:7" ht="12" customHeight="1" thickTop="1"/>
    <row r="59" spans="1:7" ht="12" customHeight="1"/>
    <row r="60" spans="1:7" ht="12" customHeight="1">
      <c r="A60" s="107" t="s">
        <v>64</v>
      </c>
      <c r="B60" s="52"/>
    </row>
    <row r="61" spans="1:7" ht="12" customHeight="1"/>
    <row r="62" spans="1:7" ht="12" customHeight="1">
      <c r="D62" s="108"/>
      <c r="E62" s="437"/>
      <c r="F62" s="109"/>
    </row>
    <row r="63" spans="1:7" ht="12" customHeight="1">
      <c r="D63" s="111"/>
      <c r="E63" s="437"/>
      <c r="F63" s="112"/>
    </row>
    <row r="64" spans="1:7" ht="12" customHeight="1"/>
    <row r="65" spans="10:10" ht="12" customHeight="1"/>
    <row r="66" spans="10:10" ht="12" customHeight="1"/>
    <row r="67" spans="10:10" ht="12" customHeight="1"/>
    <row r="68" spans="10:10" ht="12" customHeight="1"/>
    <row r="69" spans="10:10" ht="12" customHeight="1">
      <c r="J69" s="14" t="s">
        <v>33</v>
      </c>
    </row>
    <row r="70" spans="10:10" ht="12" customHeight="1"/>
    <row r="71" spans="10:10" ht="12" customHeight="1"/>
    <row r="72" spans="10:10" ht="12" customHeight="1"/>
    <row r="73" spans="10:10" ht="12" customHeight="1"/>
    <row r="74" spans="10:10" ht="12" customHeight="1"/>
    <row r="75" spans="10:10" ht="12" customHeight="1"/>
    <row r="76" spans="10:10" ht="12" customHeight="1"/>
    <row r="77" spans="10:10" ht="12" customHeight="1"/>
    <row r="78" spans="10:10" ht="12" customHeight="1"/>
    <row r="79" spans="10:10" ht="12" customHeight="1"/>
    <row r="80" spans="10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</sheetData>
  <mergeCells count="13">
    <mergeCell ref="E9:F9"/>
    <mergeCell ref="A1:F1"/>
    <mergeCell ref="A2:F2"/>
    <mergeCell ref="A3:F3"/>
    <mergeCell ref="A4:F4"/>
    <mergeCell ref="E8:F8"/>
    <mergeCell ref="A57:E57"/>
    <mergeCell ref="E11:F11"/>
    <mergeCell ref="C30:E30"/>
    <mergeCell ref="B32:B36"/>
    <mergeCell ref="C42:E42"/>
    <mergeCell ref="C48:E48"/>
    <mergeCell ref="C55:E55"/>
  </mergeCells>
  <conditionalFormatting sqref="E10">
    <cfRule type="cellIs" dxfId="41" priority="4" operator="equal">
      <formula>0</formula>
    </cfRule>
  </conditionalFormatting>
  <conditionalFormatting sqref="E40">
    <cfRule type="cellIs" dxfId="40" priority="3" operator="equal">
      <formula>0</formula>
    </cfRule>
  </conditionalFormatting>
  <conditionalFormatting sqref="E46">
    <cfRule type="cellIs" dxfId="39" priority="2" operator="equal">
      <formula>0</formula>
    </cfRule>
  </conditionalFormatting>
  <conditionalFormatting sqref="E53">
    <cfRule type="cellIs" dxfId="38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0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FC793-5F9E-43E1-AC66-C59F5E04B229}">
  <sheetPr codeName="Feuil81">
    <pageSetUpPr fitToPage="1"/>
  </sheetPr>
  <dimension ref="A1:L240"/>
  <sheetViews>
    <sheetView topLeftCell="A4" zoomScaleNormal="100" zoomScaleSheetLayoutView="100" workbookViewId="0">
      <selection activeCell="K34" sqref="K32:K34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514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12.75">
      <c r="A7" s="15">
        <v>10.1</v>
      </c>
      <c r="B7" s="408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1"/>
      <c r="D13" s="32"/>
      <c r="E13" s="29"/>
      <c r="F13" s="26"/>
    </row>
    <row r="14" spans="1:6" customFormat="1" ht="12" customHeight="1">
      <c r="A14" s="39"/>
      <c r="B14" s="40" t="s">
        <v>508</v>
      </c>
      <c r="C14" s="41"/>
      <c r="D14" s="32"/>
      <c r="E14" s="29"/>
      <c r="F14" s="26"/>
    </row>
    <row r="15" spans="1:6" customFormat="1" ht="12" customHeight="1">
      <c r="A15" s="39"/>
      <c r="B15" s="40" t="s">
        <v>20</v>
      </c>
      <c r="C15" s="41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32"/>
      <c r="E17" s="29"/>
      <c r="F17" s="26"/>
    </row>
    <row r="18" spans="1:6" customFormat="1" ht="12" customHeight="1">
      <c r="A18" s="39"/>
      <c r="B18" s="40" t="s">
        <v>23</v>
      </c>
      <c r="C18" s="41"/>
      <c r="D18" s="32"/>
      <c r="E18" s="29"/>
      <c r="F18" s="26"/>
    </row>
    <row r="19" spans="1:6" customFormat="1" ht="12" customHeight="1">
      <c r="A19" s="39"/>
      <c r="B19" s="40" t="s">
        <v>24</v>
      </c>
      <c r="C19" s="41"/>
      <c r="D19" s="32"/>
      <c r="E19" s="29"/>
      <c r="F19" s="26"/>
    </row>
    <row r="20" spans="1:6" customFormat="1" ht="12" customHeight="1">
      <c r="A20" s="39"/>
      <c r="B20" s="40" t="s">
        <v>509</v>
      </c>
      <c r="C20" s="41"/>
      <c r="D20" s="32"/>
      <c r="E20" s="29"/>
      <c r="F20" s="26"/>
    </row>
    <row r="21" spans="1:6" customFormat="1" ht="12" customHeight="1">
      <c r="A21" s="39"/>
      <c r="B21" s="40" t="s">
        <v>26</v>
      </c>
      <c r="C21" s="41"/>
      <c r="D21" s="32"/>
      <c r="E21" s="29"/>
      <c r="F21" s="26"/>
    </row>
    <row r="22" spans="1:6" customFormat="1" ht="12" customHeight="1">
      <c r="A22" s="39"/>
      <c r="B22" s="40" t="s">
        <v>27</v>
      </c>
      <c r="C22" s="41"/>
      <c r="D22" s="32"/>
      <c r="E22" s="29"/>
      <c r="F22" s="26"/>
    </row>
    <row r="23" spans="1:6" customFormat="1" ht="12" customHeight="1">
      <c r="A23" s="39"/>
      <c r="B23" s="40" t="s">
        <v>510</v>
      </c>
      <c r="C23" s="41"/>
      <c r="D23" s="32"/>
      <c r="E23" s="29"/>
      <c r="F23" s="26"/>
    </row>
    <row r="24" spans="1:6" customFormat="1" ht="12" customHeight="1">
      <c r="A24" s="39"/>
      <c r="B24" s="40" t="s">
        <v>29</v>
      </c>
      <c r="C24" s="41"/>
      <c r="D24" s="32"/>
      <c r="E24" s="29"/>
      <c r="F24" s="26"/>
    </row>
    <row r="25" spans="1:6" customFormat="1" ht="12" customHeight="1">
      <c r="A25" s="39"/>
      <c r="B25" s="40" t="s">
        <v>31</v>
      </c>
      <c r="C25" s="41"/>
      <c r="D25" s="32"/>
      <c r="E25" s="29"/>
      <c r="F25" s="26"/>
    </row>
    <row r="26" spans="1:6" customFormat="1" ht="12" customHeight="1">
      <c r="A26" s="39"/>
      <c r="B26" s="40" t="s">
        <v>32</v>
      </c>
      <c r="C26" s="41"/>
      <c r="D26" s="32"/>
      <c r="E26" s="29"/>
      <c r="F26" s="26"/>
    </row>
    <row r="27" spans="1:6" customFormat="1" ht="12" customHeight="1">
      <c r="A27" s="39"/>
      <c r="B27" s="40" t="s">
        <v>34</v>
      </c>
      <c r="C27" s="41"/>
      <c r="D27" s="32"/>
      <c r="E27" s="29"/>
      <c r="F27" s="26"/>
    </row>
    <row r="28" spans="1:6" customFormat="1" ht="12" customHeight="1">
      <c r="A28" s="39"/>
      <c r="B28" s="40" t="s">
        <v>35</v>
      </c>
      <c r="C28" s="41"/>
      <c r="D28" s="32"/>
      <c r="E28" s="29"/>
      <c r="F28" s="26"/>
    </row>
    <row r="29" spans="1:6" ht="12" customHeight="1" thickBot="1">
      <c r="A29" s="22"/>
      <c r="B29" s="324"/>
      <c r="C29" s="310"/>
      <c r="D29" s="77"/>
      <c r="E29" s="78"/>
      <c r="F29" s="412"/>
    </row>
    <row r="30" spans="1:6" ht="27" customHeight="1" thickTop="1" thickBot="1">
      <c r="A30" s="22"/>
      <c r="B30" s="50"/>
      <c r="C30" s="474" t="str">
        <f>+B7</f>
        <v>TRAVAUX PRELIMINAIRES</v>
      </c>
      <c r="D30" s="475"/>
      <c r="E30" s="476"/>
      <c r="F30" s="51"/>
    </row>
    <row r="31" spans="1:6" ht="12" customHeight="1" thickTop="1" thickBot="1">
      <c r="A31" s="22"/>
      <c r="B31" s="393"/>
      <c r="C31" s="423"/>
      <c r="D31" s="53"/>
      <c r="E31" s="424"/>
      <c r="F31" s="438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/>
      <c r="B39" s="61" t="s">
        <v>39</v>
      </c>
      <c r="C39" s="24"/>
      <c r="D39" s="32"/>
      <c r="E39" s="29"/>
      <c r="F39" s="26"/>
    </row>
    <row r="40" spans="1:7" s="64" customFormat="1" ht="12" customHeight="1">
      <c r="A40" s="39"/>
      <c r="B40" s="63" t="s">
        <v>515</v>
      </c>
      <c r="C40" s="24" t="s">
        <v>41</v>
      </c>
      <c r="D40" s="32">
        <v>183.48</v>
      </c>
      <c r="E40" s="29"/>
      <c r="F40" s="30"/>
      <c r="G40" s="1"/>
    </row>
    <row r="41" spans="1:7" s="64" customFormat="1" ht="12" customHeight="1" thickBot="1">
      <c r="A41" s="39"/>
      <c r="B41" s="66"/>
      <c r="C41" s="24"/>
      <c r="D41" s="77"/>
      <c r="E41" s="84"/>
      <c r="F41" s="79"/>
      <c r="G41" s="1"/>
    </row>
    <row r="42" spans="1:7" ht="27" customHeight="1" thickTop="1" thickBot="1">
      <c r="A42" s="22"/>
      <c r="B42" s="67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24"/>
      <c r="D43" s="53"/>
      <c r="E43" s="54"/>
      <c r="F43" s="55"/>
    </row>
    <row r="44" spans="1:7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308"/>
      <c r="F45" s="327"/>
    </row>
    <row r="46" spans="1:7" s="1" customFormat="1" ht="12" customHeight="1">
      <c r="A46" s="39"/>
      <c r="B46" s="63" t="s">
        <v>516</v>
      </c>
      <c r="C46" s="312" t="s">
        <v>41</v>
      </c>
      <c r="D46" s="32">
        <f>(23.4*2.7)-(((1.5*2.7)+(1.5*2.1)+(3*0.9*2.1)+(1*2.1)+(1.5*1.7)))</f>
        <v>45.66</v>
      </c>
      <c r="E46" s="29"/>
      <c r="F46" s="30"/>
    </row>
    <row r="47" spans="1:7" s="64" customFormat="1" ht="12" customHeight="1">
      <c r="A47" s="39"/>
      <c r="B47" s="63" t="s">
        <v>517</v>
      </c>
      <c r="C47" s="312" t="s">
        <v>41</v>
      </c>
      <c r="D47" s="32">
        <f>(27.91*2.7)-(((2*1.5*2.1)+(2*1.5*1.7)))</f>
        <v>63.957000000000001</v>
      </c>
      <c r="E47" s="29"/>
      <c r="F47" s="30"/>
      <c r="G47" s="1"/>
    </row>
    <row r="48" spans="1:7" s="1" customFormat="1" ht="12" customHeight="1">
      <c r="A48" s="39"/>
      <c r="B48" s="63" t="s">
        <v>518</v>
      </c>
      <c r="C48" s="312" t="s">
        <v>41</v>
      </c>
      <c r="D48" s="32">
        <f>(17.34*2.7)-(((1*2.1)+(1.5*1.7)))</f>
        <v>42.168000000000006</v>
      </c>
      <c r="E48" s="29"/>
      <c r="F48" s="30"/>
    </row>
    <row r="49" spans="1:12" s="64" customFormat="1" ht="12" customHeight="1">
      <c r="A49" s="39"/>
      <c r="B49" s="63" t="s">
        <v>519</v>
      </c>
      <c r="C49" s="312" t="s">
        <v>41</v>
      </c>
      <c r="D49" s="32">
        <f>(16.5*2.7)-(((1*2.1)+(1.5*1.7)))</f>
        <v>39.900000000000006</v>
      </c>
      <c r="E49" s="29"/>
      <c r="F49" s="30"/>
      <c r="G49" s="1"/>
      <c r="L49" s="64" t="s">
        <v>33</v>
      </c>
    </row>
    <row r="50" spans="1:12" s="64" customFormat="1" ht="12" customHeight="1">
      <c r="A50" s="39"/>
      <c r="B50" s="63" t="s">
        <v>520</v>
      </c>
      <c r="C50" s="312" t="s">
        <v>41</v>
      </c>
      <c r="D50" s="32">
        <f>(15.72*2.7)-(((0.9*2.1)+(1.5*1.7)+(1*2.1)))</f>
        <v>35.904000000000003</v>
      </c>
      <c r="E50" s="29"/>
      <c r="F50" s="30"/>
      <c r="G50" s="1"/>
    </row>
    <row r="51" spans="1:12" s="64" customFormat="1" ht="12" customHeight="1">
      <c r="A51" s="39"/>
      <c r="B51" s="63" t="s">
        <v>521</v>
      </c>
      <c r="C51" s="312" t="s">
        <v>41</v>
      </c>
      <c r="D51" s="32">
        <f>(25.41*2.7)-(((1*2.1)+(1.5*2.1)+(2*1.5*1.7)))</f>
        <v>58.256999999999998</v>
      </c>
      <c r="E51" s="29"/>
      <c r="F51" s="30"/>
      <c r="G51" s="1"/>
    </row>
    <row r="52" spans="1:12" s="1" customFormat="1" ht="12" customHeight="1">
      <c r="A52" s="39"/>
      <c r="B52" s="63" t="s">
        <v>522</v>
      </c>
      <c r="C52" s="312" t="s">
        <v>41</v>
      </c>
      <c r="D52" s="32">
        <f>(11.46*2.7)-(1*2.1)</f>
        <v>28.842000000000002</v>
      </c>
      <c r="E52" s="29"/>
      <c r="F52" s="30"/>
    </row>
    <row r="53" spans="1:12" s="64" customFormat="1" ht="12" customHeight="1" thickBot="1">
      <c r="A53" s="163"/>
      <c r="B53" s="75" t="s">
        <v>523</v>
      </c>
      <c r="C53" s="376" t="s">
        <v>41</v>
      </c>
      <c r="D53" s="77">
        <f>(7.81*2.7)-(0.8*2.1)</f>
        <v>19.407</v>
      </c>
      <c r="E53" s="78"/>
      <c r="F53" s="79"/>
      <c r="G53" s="1"/>
    </row>
    <row r="54" spans="1:12" s="64" customFormat="1" ht="12" customHeight="1" thickTop="1">
      <c r="A54" s="167"/>
      <c r="B54" s="81" t="s">
        <v>524</v>
      </c>
      <c r="C54" s="377" t="s">
        <v>41</v>
      </c>
      <c r="D54" s="11">
        <f>(7.8*2.7)-(0.8*2.1)</f>
        <v>19.380000000000003</v>
      </c>
      <c r="E54" s="12"/>
      <c r="F54" s="13"/>
      <c r="G54" s="1"/>
    </row>
    <row r="55" spans="1:12" s="64" customFormat="1" ht="12" customHeight="1">
      <c r="A55" s="39"/>
      <c r="B55" s="63" t="s">
        <v>525</v>
      </c>
      <c r="C55" s="312" t="s">
        <v>41</v>
      </c>
      <c r="D55" s="32">
        <f>(18.6*2.7)-(((0.9*2.1)+(1.5*2.7)+(2*1*2.1)))</f>
        <v>40.080000000000005</v>
      </c>
      <c r="E55" s="29"/>
      <c r="F55" s="30"/>
      <c r="G55" s="1"/>
    </row>
    <row r="56" spans="1:12" s="64" customFormat="1" ht="12" customHeight="1">
      <c r="A56" s="39"/>
      <c r="B56" s="63" t="s">
        <v>526</v>
      </c>
      <c r="C56" s="312" t="s">
        <v>41</v>
      </c>
      <c r="D56" s="32">
        <f>(8.37*2.7)-((2*0.8*2.1)+(2*0.9*2.1))</f>
        <v>15.459</v>
      </c>
      <c r="E56" s="29"/>
      <c r="F56" s="30"/>
      <c r="G56" s="1"/>
    </row>
    <row r="57" spans="1:12" s="64" customFormat="1" ht="12" customHeight="1">
      <c r="A57" s="39"/>
      <c r="B57" s="63" t="s">
        <v>527</v>
      </c>
      <c r="C57" s="312" t="s">
        <v>41</v>
      </c>
      <c r="D57" s="32">
        <f>(6.26*2.7)-(0.9*2.1)</f>
        <v>15.012</v>
      </c>
      <c r="E57" s="29"/>
      <c r="F57" s="30"/>
      <c r="G57" s="1"/>
    </row>
    <row r="58" spans="1:12" s="1" customFormat="1" ht="12" customHeight="1">
      <c r="A58" s="39"/>
      <c r="B58" s="63" t="s">
        <v>55</v>
      </c>
      <c r="C58" s="312" t="s">
        <v>41</v>
      </c>
      <c r="D58" s="32">
        <f>(4.34*2.7)-(1.5*2.1)</f>
        <v>8.5679999999999996</v>
      </c>
      <c r="E58" s="29"/>
      <c r="F58" s="30"/>
    </row>
    <row r="59" spans="1:12" s="64" customFormat="1" ht="12" customHeight="1" thickBot="1">
      <c r="A59" s="39"/>
      <c r="B59" s="66"/>
      <c r="C59" s="24"/>
      <c r="D59" s="77"/>
      <c r="E59" s="84"/>
      <c r="F59" s="79"/>
      <c r="G59" s="1"/>
    </row>
    <row r="60" spans="1:12" ht="27" customHeight="1" thickTop="1" thickBot="1">
      <c r="A60" s="22"/>
      <c r="B60" s="66"/>
      <c r="C60" s="474" t="s">
        <v>52</v>
      </c>
      <c r="D60" s="475"/>
      <c r="E60" s="476"/>
      <c r="F60" s="51"/>
    </row>
    <row r="61" spans="1:12" ht="12" customHeight="1" thickTop="1">
      <c r="A61" s="22"/>
      <c r="B61" s="66"/>
      <c r="C61" s="24"/>
      <c r="D61" s="378"/>
      <c r="E61" s="429"/>
      <c r="F61" s="439"/>
    </row>
    <row r="62" spans="1:12" s="89" customFormat="1" ht="20.100000000000001" customHeight="1">
      <c r="A62" s="348">
        <f>A44+0.1</f>
        <v>10.399999999999999</v>
      </c>
      <c r="B62" s="58" t="s">
        <v>53</v>
      </c>
      <c r="C62" s="17"/>
      <c r="D62" s="18"/>
      <c r="E62" s="349"/>
      <c r="F62" s="60"/>
    </row>
    <row r="63" spans="1:12" s="46" customFormat="1">
      <c r="A63" s="22"/>
      <c r="B63" s="61" t="s">
        <v>54</v>
      </c>
      <c r="C63" s="44"/>
      <c r="D63" s="32"/>
      <c r="E63" s="57"/>
      <c r="F63" s="30"/>
    </row>
    <row r="64" spans="1:12" s="64" customFormat="1" ht="12" customHeight="1">
      <c r="A64" s="39"/>
      <c r="B64" s="63" t="s">
        <v>522</v>
      </c>
      <c r="C64" s="24" t="s">
        <v>41</v>
      </c>
      <c r="D64" s="32">
        <v>8.1300000000000008</v>
      </c>
      <c r="E64" s="29"/>
      <c r="F64" s="30"/>
      <c r="G64" s="1"/>
    </row>
    <row r="65" spans="1:7" s="64" customFormat="1" ht="12" customHeight="1">
      <c r="A65" s="39"/>
      <c r="B65" s="63" t="s">
        <v>527</v>
      </c>
      <c r="C65" s="24" t="s">
        <v>41</v>
      </c>
      <c r="D65" s="32">
        <v>2.41</v>
      </c>
      <c r="E65" s="29"/>
      <c r="F65" s="30"/>
      <c r="G65" s="1"/>
    </row>
    <row r="66" spans="1:7" s="64" customFormat="1" ht="12" customHeight="1">
      <c r="A66" s="39"/>
      <c r="B66" s="66"/>
      <c r="C66" s="24"/>
      <c r="D66" s="32"/>
      <c r="E66" s="349"/>
      <c r="F66" s="30"/>
      <c r="G66" s="1"/>
    </row>
    <row r="67" spans="1:7" s="46" customFormat="1" ht="24">
      <c r="A67" s="22"/>
      <c r="B67" s="61" t="s">
        <v>56</v>
      </c>
      <c r="C67" s="24"/>
      <c r="D67" s="32"/>
      <c r="E67" s="349"/>
      <c r="F67" s="26"/>
    </row>
    <row r="68" spans="1:7" s="64" customFormat="1" ht="12" customHeight="1">
      <c r="A68" s="39"/>
      <c r="B68" s="63" t="s">
        <v>528</v>
      </c>
      <c r="C68" s="24" t="s">
        <v>41</v>
      </c>
      <c r="D68" s="32">
        <v>3.55</v>
      </c>
      <c r="E68" s="29"/>
      <c r="F68" s="30"/>
    </row>
    <row r="69" spans="1:7" s="64" customFormat="1" ht="12" customHeight="1">
      <c r="A69" s="39"/>
      <c r="B69" s="63" t="s">
        <v>529</v>
      </c>
      <c r="C69" s="24" t="s">
        <v>41</v>
      </c>
      <c r="D69" s="32">
        <v>3.53</v>
      </c>
      <c r="E69" s="29"/>
      <c r="F69" s="30"/>
    </row>
    <row r="70" spans="1:7" s="64" customFormat="1" ht="12" customHeight="1">
      <c r="A70" s="39"/>
      <c r="B70" s="66"/>
      <c r="C70" s="24"/>
      <c r="D70" s="312"/>
      <c r="E70" s="349"/>
      <c r="F70" s="30"/>
      <c r="G70" s="1"/>
    </row>
    <row r="71" spans="1:7" s="46" customFormat="1" ht="15" customHeight="1">
      <c r="A71" s="22"/>
      <c r="B71" s="61" t="s">
        <v>58</v>
      </c>
      <c r="C71" s="24"/>
      <c r="D71" s="32"/>
      <c r="E71" s="349"/>
      <c r="F71" s="26"/>
    </row>
    <row r="72" spans="1:7" s="155" customFormat="1" ht="12" customHeight="1">
      <c r="A72" s="39"/>
      <c r="B72" s="63" t="s">
        <v>516</v>
      </c>
      <c r="C72" s="24" t="s">
        <v>41</v>
      </c>
      <c r="D72" s="32">
        <v>23.56</v>
      </c>
      <c r="E72" s="29"/>
      <c r="F72" s="30"/>
      <c r="G72" s="64"/>
    </row>
    <row r="73" spans="1:7" s="155" customFormat="1" ht="12" customHeight="1">
      <c r="A73" s="39"/>
      <c r="B73" s="63" t="s">
        <v>525</v>
      </c>
      <c r="C73" s="24" t="s">
        <v>41</v>
      </c>
      <c r="D73" s="32">
        <v>16</v>
      </c>
      <c r="E73" s="29"/>
      <c r="F73" s="30"/>
      <c r="G73" s="64"/>
    </row>
    <row r="74" spans="1:7" s="155" customFormat="1" ht="12" customHeight="1">
      <c r="A74" s="39"/>
      <c r="B74" s="63" t="s">
        <v>517</v>
      </c>
      <c r="C74" s="24" t="s">
        <v>41</v>
      </c>
      <c r="D74" s="32">
        <v>35.67</v>
      </c>
      <c r="E74" s="29"/>
      <c r="F74" s="30"/>
      <c r="G74" s="64"/>
    </row>
    <row r="75" spans="1:7" s="155" customFormat="1" ht="12" customHeight="1">
      <c r="A75" s="39"/>
      <c r="B75" s="63" t="s">
        <v>518</v>
      </c>
      <c r="C75" s="24" t="s">
        <v>41</v>
      </c>
      <c r="D75" s="32">
        <v>18.28</v>
      </c>
      <c r="E75" s="29"/>
      <c r="F75" s="30"/>
      <c r="G75" s="64"/>
    </row>
    <row r="76" spans="1:7" s="155" customFormat="1" ht="12" customHeight="1">
      <c r="A76" s="39"/>
      <c r="B76" s="63" t="s">
        <v>520</v>
      </c>
      <c r="C76" s="24" t="s">
        <v>41</v>
      </c>
      <c r="D76" s="32">
        <v>14.8</v>
      </c>
      <c r="E76" s="29"/>
      <c r="F76" s="30"/>
      <c r="G76" s="64"/>
    </row>
    <row r="77" spans="1:7" s="155" customFormat="1" ht="12" customHeight="1">
      <c r="A77" s="39"/>
      <c r="B77" s="63" t="s">
        <v>519</v>
      </c>
      <c r="C77" s="24" t="s">
        <v>41</v>
      </c>
      <c r="D77" s="32">
        <v>16.16</v>
      </c>
      <c r="E77" s="29"/>
      <c r="F77" s="30"/>
      <c r="G77" s="64"/>
    </row>
    <row r="78" spans="1:7" s="155" customFormat="1" ht="12" customHeight="1">
      <c r="A78" s="39"/>
      <c r="B78" s="63" t="s">
        <v>521</v>
      </c>
      <c r="C78" s="24" t="s">
        <v>41</v>
      </c>
      <c r="D78" s="32">
        <v>30.19</v>
      </c>
      <c r="E78" s="29"/>
      <c r="F78" s="30"/>
      <c r="G78" s="64"/>
    </row>
    <row r="79" spans="1:7" s="155" customFormat="1" ht="12" customHeight="1">
      <c r="A79" s="39"/>
      <c r="B79" s="63" t="s">
        <v>530</v>
      </c>
      <c r="C79" s="24" t="s">
        <v>41</v>
      </c>
      <c r="D79" s="32">
        <v>3.58</v>
      </c>
      <c r="E79" s="29"/>
      <c r="F79" s="30"/>
      <c r="G79" s="64"/>
    </row>
    <row r="80" spans="1:7" s="64" customFormat="1" ht="12" customHeight="1" thickBot="1">
      <c r="A80" s="39"/>
      <c r="B80" s="66"/>
      <c r="C80" s="24"/>
      <c r="D80" s="32"/>
      <c r="E80" s="57"/>
      <c r="F80" s="30"/>
      <c r="G80" s="1"/>
    </row>
    <row r="81" spans="1:6" s="46" customFormat="1" ht="27" customHeight="1" thickTop="1" thickBot="1">
      <c r="A81" s="90"/>
      <c r="B81" s="63" t="s">
        <v>33</v>
      </c>
      <c r="C81" s="474" t="str">
        <f>+B62</f>
        <v>FAUX PLAFOND</v>
      </c>
      <c r="D81" s="475"/>
      <c r="E81" s="476"/>
      <c r="F81" s="51"/>
    </row>
    <row r="82" spans="1:6" s="46" customFormat="1" ht="12" customHeight="1" thickTop="1" thickBot="1">
      <c r="A82" s="90"/>
      <c r="B82" s="63"/>
      <c r="C82" s="69"/>
      <c r="D82" s="53"/>
      <c r="E82" s="362"/>
      <c r="F82" s="368"/>
    </row>
    <row r="83" spans="1:6" s="46" customFormat="1" ht="30" customHeight="1" thickTop="1" thickBot="1">
      <c r="A83" s="477" t="s">
        <v>63</v>
      </c>
      <c r="B83" s="478"/>
      <c r="C83" s="478"/>
      <c r="D83" s="478"/>
      <c r="E83" s="479"/>
      <c r="F83" s="102"/>
    </row>
    <row r="84" spans="1:6" ht="12" customHeight="1" thickTop="1"/>
    <row r="85" spans="1:6" ht="12" customHeight="1"/>
    <row r="86" spans="1:6" ht="12" customHeight="1">
      <c r="A86" s="107" t="s">
        <v>64</v>
      </c>
      <c r="B86" s="52"/>
    </row>
    <row r="87" spans="1:6" ht="12" customHeight="1"/>
    <row r="88" spans="1:6" ht="12" customHeight="1">
      <c r="D88" s="108"/>
      <c r="E88" s="437"/>
      <c r="F88" s="109"/>
    </row>
    <row r="89" spans="1:6" ht="12" customHeight="1">
      <c r="D89" s="111"/>
      <c r="E89" s="437"/>
      <c r="F89" s="112"/>
    </row>
    <row r="90" spans="1:6" ht="12" customHeight="1"/>
    <row r="91" spans="1:6" ht="12" customHeight="1"/>
    <row r="92" spans="1:6" ht="12" customHeight="1"/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3">
    <mergeCell ref="E9:F9"/>
    <mergeCell ref="A1:F1"/>
    <mergeCell ref="A2:F2"/>
    <mergeCell ref="A3:F3"/>
    <mergeCell ref="A4:F4"/>
    <mergeCell ref="E8:F8"/>
    <mergeCell ref="A83:E83"/>
    <mergeCell ref="E11:F11"/>
    <mergeCell ref="C30:E30"/>
    <mergeCell ref="B32:B36"/>
    <mergeCell ref="C42:E42"/>
    <mergeCell ref="C60:E60"/>
    <mergeCell ref="C81:E81"/>
  </mergeCells>
  <conditionalFormatting sqref="E10">
    <cfRule type="cellIs" dxfId="37" priority="2" operator="equal">
      <formula>0</formula>
    </cfRule>
  </conditionalFormatting>
  <conditionalFormatting sqref="E40">
    <cfRule type="cellIs" dxfId="36" priority="4" operator="equal">
      <formula>0</formula>
    </cfRule>
  </conditionalFormatting>
  <conditionalFormatting sqref="E46:E58">
    <cfRule type="cellIs" dxfId="35" priority="3" operator="equal">
      <formula>0</formula>
    </cfRule>
  </conditionalFormatting>
  <conditionalFormatting sqref="E64:E65 E68:E69 E72:E79">
    <cfRule type="cellIs" dxfId="34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3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38FFB-733E-4332-A41F-196D346A095E}">
  <sheetPr codeName="Feuil82">
    <pageSetUpPr fitToPage="1"/>
  </sheetPr>
  <dimension ref="A1:G179"/>
  <sheetViews>
    <sheetView zoomScaleNormal="100" zoomScaleSheetLayoutView="100" workbookViewId="0">
      <selection activeCell="K20" sqref="K19:K20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531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81"/>
      <c r="C6" s="30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4"/>
      <c r="D13" s="32"/>
      <c r="E13" s="29"/>
      <c r="F13" s="26"/>
    </row>
    <row r="14" spans="1:6" customFormat="1" ht="12" customHeight="1">
      <c r="A14" s="39"/>
      <c r="B14" s="40" t="s">
        <v>508</v>
      </c>
      <c r="C14" s="44"/>
      <c r="D14" s="32"/>
      <c r="E14" s="29"/>
      <c r="F14" s="26"/>
    </row>
    <row r="15" spans="1:6" customFormat="1" ht="12" customHeight="1">
      <c r="A15" s="39"/>
      <c r="B15" s="40" t="s">
        <v>20</v>
      </c>
      <c r="C15" s="44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4"/>
      <c r="D17" s="32"/>
      <c r="E17" s="29"/>
      <c r="F17" s="26"/>
    </row>
    <row r="18" spans="1:6" customFormat="1" ht="12" customHeight="1">
      <c r="A18" s="39"/>
      <c r="B18" s="40" t="s">
        <v>23</v>
      </c>
      <c r="C18" s="44"/>
      <c r="D18" s="32"/>
      <c r="E18" s="29"/>
      <c r="F18" s="26"/>
    </row>
    <row r="19" spans="1:6" customFormat="1" ht="12" customHeight="1">
      <c r="A19" s="39"/>
      <c r="B19" s="40" t="s">
        <v>24</v>
      </c>
      <c r="C19" s="44"/>
      <c r="D19" s="32"/>
      <c r="E19" s="29"/>
      <c r="F19" s="26"/>
    </row>
    <row r="20" spans="1:6" customFormat="1" ht="12" customHeight="1">
      <c r="A20" s="39"/>
      <c r="B20" s="40" t="s">
        <v>509</v>
      </c>
      <c r="C20" s="44"/>
      <c r="D20" s="32"/>
      <c r="E20" s="29"/>
      <c r="F20" s="26"/>
    </row>
    <row r="21" spans="1:6" customFormat="1" ht="12" customHeight="1">
      <c r="A21" s="39"/>
      <c r="B21" s="40" t="s">
        <v>26</v>
      </c>
      <c r="C21" s="44"/>
      <c r="D21" s="32"/>
      <c r="E21" s="29"/>
      <c r="F21" s="26"/>
    </row>
    <row r="22" spans="1:6" customFormat="1" ht="12" customHeight="1">
      <c r="A22" s="39"/>
      <c r="B22" s="40" t="s">
        <v>27</v>
      </c>
      <c r="C22" s="44"/>
      <c r="D22" s="32"/>
      <c r="E22" s="29"/>
      <c r="F22" s="26"/>
    </row>
    <row r="23" spans="1:6" customFormat="1" ht="12" customHeight="1">
      <c r="A23" s="39"/>
      <c r="B23" s="40" t="s">
        <v>510</v>
      </c>
      <c r="C23" s="44"/>
      <c r="D23" s="32"/>
      <c r="E23" s="29"/>
      <c r="F23" s="26"/>
    </row>
    <row r="24" spans="1:6" customFormat="1" ht="12" customHeight="1">
      <c r="A24" s="39"/>
      <c r="B24" s="40" t="s">
        <v>29</v>
      </c>
      <c r="C24" s="44"/>
      <c r="D24" s="32"/>
      <c r="E24" s="29"/>
      <c r="F24" s="26"/>
    </row>
    <row r="25" spans="1:6" customFormat="1" ht="12" customHeight="1">
      <c r="A25" s="39"/>
      <c r="B25" s="40" t="s">
        <v>31</v>
      </c>
      <c r="C25" s="44"/>
      <c r="D25" s="32"/>
      <c r="E25" s="29"/>
      <c r="F25" s="26"/>
    </row>
    <row r="26" spans="1:6" customFormat="1" ht="12" customHeight="1">
      <c r="A26" s="39"/>
      <c r="B26" s="40" t="s">
        <v>32</v>
      </c>
      <c r="C26" s="44"/>
      <c r="D26" s="32"/>
      <c r="E26" s="29"/>
      <c r="F26" s="26"/>
    </row>
    <row r="27" spans="1:6" customFormat="1" ht="12" customHeight="1">
      <c r="A27" s="39"/>
      <c r="B27" s="40" t="s">
        <v>34</v>
      </c>
      <c r="C27" s="44"/>
      <c r="D27" s="32"/>
      <c r="E27" s="29"/>
      <c r="F27" s="26"/>
    </row>
    <row r="28" spans="1:6" customFormat="1" ht="12" customHeight="1">
      <c r="A28" s="39"/>
      <c r="B28" s="40" t="s">
        <v>35</v>
      </c>
      <c r="C28" s="44"/>
      <c r="D28" s="32"/>
      <c r="E28" s="29"/>
      <c r="F28" s="26"/>
    </row>
    <row r="29" spans="1:6" ht="12" customHeight="1" thickBot="1">
      <c r="A29" s="22"/>
      <c r="B29" s="324"/>
      <c r="C29" s="83"/>
      <c r="D29" s="77"/>
      <c r="E29" s="78"/>
      <c r="F29" s="412"/>
    </row>
    <row r="30" spans="1:6" ht="27" customHeight="1" thickTop="1" thickBot="1">
      <c r="A30" s="22"/>
      <c r="B30" s="50"/>
      <c r="C30" s="474" t="str">
        <f>B7</f>
        <v>TRAVAUX PRELIMINAIRES</v>
      </c>
      <c r="D30" s="475"/>
      <c r="E30" s="476"/>
      <c r="F30" s="51"/>
    </row>
    <row r="31" spans="1:6" ht="12" customHeight="1" thickTop="1" thickBot="1">
      <c r="A31" s="22"/>
      <c r="B31" s="393"/>
      <c r="C31" s="394"/>
      <c r="D31" s="53"/>
      <c r="E31" s="424"/>
      <c r="F31" s="438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>
        <f>A38+0.001</f>
        <v>10.200999999999999</v>
      </c>
      <c r="B39" s="61" t="s">
        <v>39</v>
      </c>
      <c r="C39" s="24"/>
      <c r="D39" s="32"/>
      <c r="E39" s="29"/>
      <c r="F39" s="26"/>
    </row>
    <row r="40" spans="1:7" s="64" customFormat="1" ht="12" customHeight="1">
      <c r="A40" s="39"/>
      <c r="B40" s="63" t="s">
        <v>532</v>
      </c>
      <c r="C40" s="24" t="s">
        <v>41</v>
      </c>
      <c r="D40" s="32">
        <v>190.92</v>
      </c>
      <c r="E40" s="29"/>
      <c r="F40" s="30"/>
    </row>
    <row r="41" spans="1:7" s="64" customFormat="1" ht="12" customHeight="1" thickBot="1">
      <c r="A41" s="39"/>
      <c r="B41" s="66"/>
      <c r="C41" s="83"/>
      <c r="D41" s="77"/>
      <c r="E41" s="84"/>
      <c r="F41" s="79"/>
    </row>
    <row r="42" spans="1:7" ht="27" customHeight="1" thickTop="1" thickBot="1">
      <c r="A42" s="22"/>
      <c r="B42" s="67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300"/>
      <c r="D43" s="53"/>
      <c r="E43" s="54"/>
      <c r="F43" s="55"/>
    </row>
    <row r="44" spans="1:7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308"/>
      <c r="F45" s="327"/>
    </row>
    <row r="46" spans="1:7" s="1" customFormat="1" ht="12" customHeight="1">
      <c r="A46" s="39"/>
      <c r="B46" s="63" t="s">
        <v>533</v>
      </c>
      <c r="C46" s="312" t="s">
        <v>41</v>
      </c>
      <c r="D46" s="32">
        <f>(11.15*2.7)-((0.9*2*2.1)+(0.8*2.1)+(1.5*2.7))</f>
        <v>20.595000000000002</v>
      </c>
      <c r="E46" s="29"/>
      <c r="F46" s="30"/>
    </row>
    <row r="47" spans="1:7" s="64" customFormat="1" ht="12" customHeight="1">
      <c r="A47" s="39"/>
      <c r="B47" s="63" t="s">
        <v>534</v>
      </c>
      <c r="C47" s="312" t="s">
        <v>41</v>
      </c>
      <c r="D47" s="32">
        <f>(17.32*2.7)-((0.9*2.1)+(0.8*2.1)+(2*1.5*1.7))</f>
        <v>38.094000000000001</v>
      </c>
      <c r="E47" s="29"/>
      <c r="F47" s="30"/>
      <c r="G47" s="1"/>
    </row>
    <row r="48" spans="1:7" s="1" customFormat="1" ht="12" customHeight="1">
      <c r="A48" s="39"/>
      <c r="B48" s="63" t="s">
        <v>535</v>
      </c>
      <c r="C48" s="312" t="s">
        <v>41</v>
      </c>
      <c r="D48" s="32">
        <f>(36.81*2.7)-((0.9*2.1)+(0.8*2.1)+(1*2.1)+(3*1.5*1.7))</f>
        <v>86.067000000000007</v>
      </c>
      <c r="E48" s="29"/>
      <c r="F48" s="30"/>
    </row>
    <row r="49" spans="1:7" s="64" customFormat="1" ht="12" customHeight="1">
      <c r="A49" s="39"/>
      <c r="B49" s="63" t="s">
        <v>536</v>
      </c>
      <c r="C49" s="312" t="s">
        <v>41</v>
      </c>
      <c r="D49" s="32">
        <f>(13.06*2.7)-((1.5*1.7)+(0.8*2.1))</f>
        <v>31.032</v>
      </c>
      <c r="E49" s="29"/>
      <c r="F49" s="30"/>
      <c r="G49" s="1"/>
    </row>
    <row r="50" spans="1:7" s="1" customFormat="1" ht="12" customHeight="1">
      <c r="A50" s="39"/>
      <c r="B50" s="63" t="s">
        <v>522</v>
      </c>
      <c r="C50" s="312" t="s">
        <v>41</v>
      </c>
      <c r="D50" s="32">
        <f>(15.46*2.7)-((0.8*2.1)+(1*2.1)+(1.5*1.7))</f>
        <v>35.412000000000006</v>
      </c>
      <c r="E50" s="29"/>
      <c r="F50" s="30"/>
    </row>
    <row r="51" spans="1:7" s="1" customFormat="1" ht="12" customHeight="1">
      <c r="A51" s="39"/>
      <c r="B51" s="63" t="s">
        <v>537</v>
      </c>
      <c r="C51" s="312" t="s">
        <v>41</v>
      </c>
      <c r="D51" s="32">
        <f>(11.92*2.7)-((0.8*2.1)+(1.5*1.7))</f>
        <v>27.954000000000004</v>
      </c>
      <c r="E51" s="29"/>
      <c r="F51" s="30"/>
    </row>
    <row r="52" spans="1:7" s="64" customFormat="1" ht="12" customHeight="1">
      <c r="A52" s="39"/>
      <c r="B52" s="63" t="s">
        <v>538</v>
      </c>
      <c r="C52" s="312" t="s">
        <v>41</v>
      </c>
      <c r="D52" s="32">
        <f>(20.25*2.7)-((1.4*2.1)+(1*2.1)+(1.5*1.7))</f>
        <v>47.085000000000008</v>
      </c>
      <c r="E52" s="29"/>
      <c r="F52" s="30"/>
      <c r="G52" s="1"/>
    </row>
    <row r="53" spans="1:7" s="64" customFormat="1" ht="12" customHeight="1" thickBot="1">
      <c r="A53" s="163"/>
      <c r="B53" s="75" t="s">
        <v>539</v>
      </c>
      <c r="C53" s="376" t="s">
        <v>41</v>
      </c>
      <c r="D53" s="77">
        <f>(11.59*2.7)-((0.8*2.1)+(1.5*1.7))</f>
        <v>27.063000000000002</v>
      </c>
      <c r="E53" s="78"/>
      <c r="F53" s="79"/>
      <c r="G53" s="1"/>
    </row>
    <row r="54" spans="1:7" s="64" customFormat="1" ht="12" customHeight="1" thickTop="1">
      <c r="A54" s="167"/>
      <c r="B54" s="81" t="s">
        <v>540</v>
      </c>
      <c r="C54" s="377" t="s">
        <v>41</v>
      </c>
      <c r="D54" s="11">
        <f>(13.6*2.7)-((0.9*2.1)+(0.8*2.1)+(1.5*1.7))</f>
        <v>30.599999999999998</v>
      </c>
      <c r="E54" s="12"/>
      <c r="F54" s="13"/>
      <c r="G54" s="1"/>
    </row>
    <row r="55" spans="1:7" s="1" customFormat="1" ht="12" customHeight="1">
      <c r="A55" s="39"/>
      <c r="B55" s="63" t="s">
        <v>541</v>
      </c>
      <c r="C55" s="312" t="s">
        <v>41</v>
      </c>
      <c r="D55" s="32">
        <f>(5.68*2.7)-((0.8*2.1))</f>
        <v>13.656000000000001</v>
      </c>
      <c r="E55" s="29"/>
      <c r="F55" s="30"/>
    </row>
    <row r="56" spans="1:7" s="1" customFormat="1" ht="12" customHeight="1">
      <c r="A56" s="39"/>
      <c r="B56" s="63" t="s">
        <v>542</v>
      </c>
      <c r="C56" s="312" t="s">
        <v>41</v>
      </c>
      <c r="D56" s="32">
        <f>(6.46*2.7)-(0.8*2.1)</f>
        <v>15.762</v>
      </c>
      <c r="E56" s="29"/>
      <c r="F56" s="30"/>
    </row>
    <row r="57" spans="1:7" s="1" customFormat="1" ht="12" customHeight="1">
      <c r="A57" s="39"/>
      <c r="B57" s="63" t="s">
        <v>543</v>
      </c>
      <c r="C57" s="312" t="s">
        <v>41</v>
      </c>
      <c r="D57" s="32">
        <f>(5.74*2.7)-(0.8*2.1)</f>
        <v>13.818000000000001</v>
      </c>
      <c r="E57" s="29"/>
      <c r="F57" s="30"/>
    </row>
    <row r="58" spans="1:7" s="64" customFormat="1" ht="12" customHeight="1">
      <c r="A58" s="39"/>
      <c r="B58" s="63" t="s">
        <v>99</v>
      </c>
      <c r="C58" s="312" t="s">
        <v>41</v>
      </c>
      <c r="D58" s="32">
        <f>(6.96*2.7)-(5*0.8*2.1)</f>
        <v>10.392000000000001</v>
      </c>
      <c r="E58" s="29"/>
      <c r="F58" s="30"/>
      <c r="G58" s="1"/>
    </row>
    <row r="59" spans="1:7" s="1" customFormat="1" ht="12" customHeight="1">
      <c r="A59" s="39"/>
      <c r="B59" s="63" t="s">
        <v>544</v>
      </c>
      <c r="C59" s="312" t="s">
        <v>41</v>
      </c>
      <c r="D59" s="32">
        <f>(9.54*2.7)-(0.8*2.1)</f>
        <v>24.077999999999999</v>
      </c>
      <c r="E59" s="29"/>
      <c r="F59" s="30"/>
    </row>
    <row r="60" spans="1:7" s="64" customFormat="1" ht="12" customHeight="1">
      <c r="A60" s="39"/>
      <c r="B60" s="63" t="s">
        <v>100</v>
      </c>
      <c r="C60" s="312" t="s">
        <v>41</v>
      </c>
      <c r="D60" s="32">
        <f>(10.86*2.7)-((2*0.9*2.1)+(2*0.8*2.1))</f>
        <v>22.181999999999999</v>
      </c>
      <c r="E60" s="29"/>
      <c r="F60" s="30"/>
      <c r="G60" s="1"/>
    </row>
    <row r="61" spans="1:7" s="64" customFormat="1" ht="12" customHeight="1">
      <c r="A61" s="39"/>
      <c r="B61" s="63" t="s">
        <v>165</v>
      </c>
      <c r="C61" s="312" t="s">
        <v>41</v>
      </c>
      <c r="D61" s="32">
        <f>(10.9*2.7)-((1.4*2.1)+(5*0.8*2.1))</f>
        <v>18.090000000000003</v>
      </c>
      <c r="E61" s="29"/>
      <c r="F61" s="30"/>
      <c r="G61" s="1"/>
    </row>
    <row r="62" spans="1:7" s="64" customFormat="1" ht="12" customHeight="1">
      <c r="A62" s="39"/>
      <c r="B62" s="63" t="s">
        <v>545</v>
      </c>
      <c r="C62" s="312" t="s">
        <v>41</v>
      </c>
      <c r="D62" s="32">
        <f>(2.94*2.7)-(0.8*2.1)</f>
        <v>6.2580000000000009</v>
      </c>
      <c r="E62" s="29"/>
      <c r="F62" s="30"/>
      <c r="G62" s="1"/>
    </row>
    <row r="63" spans="1:7" s="1" customFormat="1" ht="12" customHeight="1">
      <c r="A63" s="39"/>
      <c r="B63" s="63" t="s">
        <v>546</v>
      </c>
      <c r="C63" s="312" t="s">
        <v>41</v>
      </c>
      <c r="D63" s="32">
        <f>(4.81*2.7)-(0.8*2.1)</f>
        <v>11.307</v>
      </c>
      <c r="E63" s="29"/>
      <c r="F63" s="30"/>
    </row>
    <row r="64" spans="1:7" s="64" customFormat="1" ht="12" customHeight="1" thickBot="1">
      <c r="A64" s="39"/>
      <c r="B64" s="66"/>
      <c r="C64" s="83"/>
      <c r="D64" s="77"/>
      <c r="E64" s="84"/>
      <c r="F64" s="79"/>
    </row>
    <row r="65" spans="1:6" ht="27" customHeight="1" thickTop="1" thickBot="1">
      <c r="A65" s="22"/>
      <c r="B65" s="66"/>
      <c r="C65" s="474" t="s">
        <v>52</v>
      </c>
      <c r="D65" s="475"/>
      <c r="E65" s="476"/>
      <c r="F65" s="51"/>
    </row>
    <row r="66" spans="1:6" ht="12" customHeight="1" thickTop="1">
      <c r="A66" s="22"/>
      <c r="B66" s="66"/>
      <c r="C66" s="300"/>
      <c r="D66" s="378"/>
      <c r="E66" s="429"/>
      <c r="F66" s="439"/>
    </row>
    <row r="67" spans="1:6" s="89" customFormat="1" ht="20.100000000000001" customHeight="1">
      <c r="A67" s="348">
        <f>A44+0.1</f>
        <v>10.399999999999999</v>
      </c>
      <c r="B67" s="58" t="s">
        <v>53</v>
      </c>
      <c r="C67" s="17"/>
      <c r="D67" s="18"/>
      <c r="E67" s="349"/>
      <c r="F67" s="60"/>
    </row>
    <row r="68" spans="1:6" s="46" customFormat="1" ht="15" customHeight="1">
      <c r="A68" s="22"/>
      <c r="B68" s="61" t="s">
        <v>54</v>
      </c>
      <c r="C68" s="44"/>
      <c r="D68" s="32"/>
      <c r="E68" s="57"/>
      <c r="F68" s="30"/>
    </row>
    <row r="69" spans="1:6" s="64" customFormat="1" ht="12" customHeight="1">
      <c r="A69" s="39"/>
      <c r="B69" s="63" t="s">
        <v>522</v>
      </c>
      <c r="C69" s="24" t="s">
        <v>41</v>
      </c>
      <c r="D69" s="32">
        <v>12.15</v>
      </c>
      <c r="E69" s="29"/>
      <c r="F69" s="30"/>
    </row>
    <row r="70" spans="1:6" s="64" customFormat="1" ht="12" customHeight="1">
      <c r="A70" s="39"/>
      <c r="B70" s="63" t="s">
        <v>537</v>
      </c>
      <c r="C70" s="24" t="s">
        <v>41</v>
      </c>
      <c r="D70" s="32">
        <v>8.5500000000000007</v>
      </c>
      <c r="E70" s="29"/>
      <c r="F70" s="30"/>
    </row>
    <row r="71" spans="1:6" s="64" customFormat="1" ht="12" customHeight="1">
      <c r="A71" s="39"/>
      <c r="B71" s="63" t="s">
        <v>540</v>
      </c>
      <c r="C71" s="24" t="s">
        <v>41</v>
      </c>
      <c r="D71" s="32">
        <v>11.7</v>
      </c>
      <c r="E71" s="29"/>
      <c r="F71" s="30"/>
    </row>
    <row r="72" spans="1:6" s="64" customFormat="1" ht="12" customHeight="1">
      <c r="A72" s="39"/>
      <c r="B72" s="66"/>
      <c r="C72" s="24"/>
      <c r="D72" s="32"/>
      <c r="E72" s="349"/>
      <c r="F72" s="30"/>
    </row>
    <row r="73" spans="1:6" s="46" customFormat="1" ht="24">
      <c r="A73" s="22"/>
      <c r="B73" s="61" t="s">
        <v>56</v>
      </c>
      <c r="C73" s="24"/>
      <c r="D73" s="32"/>
      <c r="E73" s="349"/>
      <c r="F73" s="26"/>
    </row>
    <row r="74" spans="1:6" s="64" customFormat="1" ht="12" customHeight="1">
      <c r="A74" s="39"/>
      <c r="B74" s="63" t="s">
        <v>547</v>
      </c>
      <c r="C74" s="24" t="s">
        <v>41</v>
      </c>
      <c r="D74" s="32">
        <v>24.1</v>
      </c>
      <c r="E74" s="29"/>
      <c r="F74" s="30"/>
    </row>
    <row r="75" spans="1:6" s="64" customFormat="1" ht="12" customHeight="1">
      <c r="A75" s="39"/>
      <c r="B75" s="63" t="s">
        <v>548</v>
      </c>
      <c r="C75" s="24" t="s">
        <v>41</v>
      </c>
      <c r="D75" s="32">
        <v>8.6</v>
      </c>
      <c r="E75" s="29"/>
      <c r="F75" s="30"/>
    </row>
    <row r="76" spans="1:6" s="64" customFormat="1" ht="12" customHeight="1">
      <c r="A76" s="39"/>
      <c r="B76" s="63" t="s">
        <v>549</v>
      </c>
      <c r="C76" s="24" t="s">
        <v>41</v>
      </c>
      <c r="D76" s="32">
        <v>2.1</v>
      </c>
      <c r="E76" s="29"/>
      <c r="F76" s="30"/>
    </row>
    <row r="77" spans="1:6" s="64" customFormat="1" ht="12" customHeight="1">
      <c r="A77" s="39"/>
      <c r="B77" s="63" t="s">
        <v>550</v>
      </c>
      <c r="C77" s="24" t="s">
        <v>41</v>
      </c>
      <c r="D77" s="32">
        <v>1.8</v>
      </c>
      <c r="E77" s="29"/>
      <c r="F77" s="30"/>
    </row>
    <row r="78" spans="1:6" s="64" customFormat="1" ht="12" customHeight="1">
      <c r="A78" s="39"/>
      <c r="B78" s="314" t="s">
        <v>551</v>
      </c>
      <c r="C78" s="24" t="s">
        <v>41</v>
      </c>
      <c r="D78" s="32">
        <v>4.5199999999999996</v>
      </c>
      <c r="E78" s="29"/>
      <c r="F78" s="30"/>
    </row>
    <row r="79" spans="1:6" s="64" customFormat="1" ht="12" customHeight="1">
      <c r="A79" s="39"/>
      <c r="B79" s="66"/>
      <c r="C79" s="24"/>
      <c r="D79" s="32"/>
      <c r="E79" s="349"/>
      <c r="F79" s="30"/>
    </row>
    <row r="80" spans="1:6" s="46" customFormat="1" ht="12.75">
      <c r="A80" s="22"/>
      <c r="B80" s="61" t="s">
        <v>58</v>
      </c>
      <c r="C80" s="24"/>
      <c r="D80" s="32"/>
      <c r="E80" s="349"/>
      <c r="F80" s="26"/>
    </row>
    <row r="81" spans="1:6" s="64" customFormat="1" ht="12" customHeight="1">
      <c r="A81" s="39"/>
      <c r="B81" s="63" t="s">
        <v>538</v>
      </c>
      <c r="C81" s="24" t="s">
        <v>41</v>
      </c>
      <c r="D81" s="32">
        <v>24.1</v>
      </c>
      <c r="E81" s="29"/>
      <c r="F81" s="26" t="s">
        <v>62</v>
      </c>
    </row>
    <row r="82" spans="1:6" s="64" customFormat="1" ht="12" customHeight="1">
      <c r="A82" s="39"/>
      <c r="B82" s="63" t="s">
        <v>552</v>
      </c>
      <c r="C82" s="24" t="s">
        <v>41</v>
      </c>
      <c r="D82" s="32">
        <v>6.8</v>
      </c>
      <c r="E82" s="29"/>
      <c r="F82" s="30"/>
    </row>
    <row r="83" spans="1:6" s="64" customFormat="1" ht="12" customHeight="1">
      <c r="A83" s="39"/>
      <c r="B83" s="63" t="s">
        <v>536</v>
      </c>
      <c r="C83" s="24" t="s">
        <v>41</v>
      </c>
      <c r="D83" s="32">
        <v>9.9</v>
      </c>
      <c r="E83" s="29"/>
      <c r="F83" s="30"/>
    </row>
    <row r="84" spans="1:6" s="64" customFormat="1" ht="12" customHeight="1">
      <c r="A84" s="39"/>
      <c r="B84" s="63" t="s">
        <v>99</v>
      </c>
      <c r="C84" s="24" t="s">
        <v>41</v>
      </c>
      <c r="D84" s="32">
        <v>2.35</v>
      </c>
      <c r="E84" s="29"/>
      <c r="F84" s="30"/>
    </row>
    <row r="85" spans="1:6" s="64" customFormat="1" ht="12" customHeight="1">
      <c r="A85" s="39"/>
      <c r="B85" s="63" t="s">
        <v>100</v>
      </c>
      <c r="C85" s="24" t="s">
        <v>41</v>
      </c>
      <c r="D85" s="32">
        <v>6.7</v>
      </c>
      <c r="E85" s="29"/>
      <c r="F85" s="30"/>
    </row>
    <row r="86" spans="1:6" s="64" customFormat="1" ht="12" customHeight="1">
      <c r="A86" s="39"/>
      <c r="B86" s="63" t="s">
        <v>165</v>
      </c>
      <c r="C86" s="24" t="s">
        <v>41</v>
      </c>
      <c r="D86" s="32">
        <v>7.05</v>
      </c>
      <c r="E86" s="29"/>
      <c r="F86" s="30"/>
    </row>
    <row r="87" spans="1:6" s="64" customFormat="1" ht="12" customHeight="1">
      <c r="A87" s="39"/>
      <c r="B87" s="63" t="s">
        <v>534</v>
      </c>
      <c r="C87" s="24" t="s">
        <v>41</v>
      </c>
      <c r="D87" s="32">
        <v>17.899999999999999</v>
      </c>
      <c r="E87" s="29"/>
      <c r="F87" s="30"/>
    </row>
    <row r="88" spans="1:6" s="64" customFormat="1" ht="12" customHeight="1">
      <c r="A88" s="39"/>
      <c r="B88" s="63" t="s">
        <v>553</v>
      </c>
      <c r="C88" s="24" t="s">
        <v>41</v>
      </c>
      <c r="D88" s="32">
        <v>47.85</v>
      </c>
      <c r="E88" s="29"/>
      <c r="F88" s="30"/>
    </row>
    <row r="89" spans="1:6" s="64" customFormat="1" ht="12" customHeight="1">
      <c r="A89" s="39"/>
      <c r="B89" s="66"/>
      <c r="C89" s="24"/>
      <c r="D89" s="32"/>
      <c r="E89" s="349"/>
      <c r="F89" s="30"/>
    </row>
    <row r="90" spans="1:6" s="64" customFormat="1" ht="15">
      <c r="A90" s="39"/>
      <c r="B90" s="61" t="s">
        <v>554</v>
      </c>
      <c r="C90" s="310"/>
      <c r="D90" s="25"/>
      <c r="E90" s="349"/>
      <c r="F90" s="359"/>
    </row>
    <row r="91" spans="1:6" s="64" customFormat="1" ht="12" customHeight="1">
      <c r="A91" s="39"/>
      <c r="B91" s="63" t="s">
        <v>555</v>
      </c>
      <c r="C91" s="24" t="s">
        <v>41</v>
      </c>
      <c r="D91" s="32">
        <v>2</v>
      </c>
      <c r="E91" s="29"/>
      <c r="F91" s="30"/>
    </row>
    <row r="92" spans="1:6" s="64" customFormat="1" ht="12" customHeight="1" thickBot="1">
      <c r="A92" s="39"/>
      <c r="B92" s="66"/>
      <c r="C92" s="83"/>
      <c r="D92" s="77"/>
      <c r="E92" s="84"/>
      <c r="F92" s="79"/>
    </row>
    <row r="93" spans="1:6" s="46" customFormat="1" ht="27" customHeight="1" thickTop="1" thickBot="1">
      <c r="A93" s="90" t="s">
        <v>33</v>
      </c>
      <c r="B93" s="63" t="s">
        <v>33</v>
      </c>
      <c r="C93" s="474" t="str">
        <f>+B67</f>
        <v>FAUX PLAFOND</v>
      </c>
      <c r="D93" s="475"/>
      <c r="E93" s="476"/>
      <c r="F93" s="51"/>
    </row>
    <row r="94" spans="1:6" s="46" customFormat="1" ht="12" customHeight="1" thickTop="1" thickBot="1">
      <c r="A94" s="90"/>
      <c r="B94" s="63"/>
      <c r="C94" s="394"/>
      <c r="D94" s="53"/>
      <c r="E94" s="362"/>
      <c r="F94" s="368"/>
    </row>
    <row r="95" spans="1:6" s="46" customFormat="1" ht="30" customHeight="1" thickTop="1" thickBot="1">
      <c r="A95" s="477" t="s">
        <v>63</v>
      </c>
      <c r="B95" s="478"/>
      <c r="C95" s="478"/>
      <c r="D95" s="478"/>
      <c r="E95" s="479"/>
      <c r="F95" s="102"/>
    </row>
    <row r="96" spans="1:6" ht="12" customHeight="1" thickTop="1"/>
    <row r="97" spans="1:6" ht="12" customHeight="1"/>
    <row r="98" spans="1:6" ht="12" customHeight="1">
      <c r="A98" s="107" t="s">
        <v>64</v>
      </c>
      <c r="B98" s="52"/>
    </row>
    <row r="99" spans="1:6" ht="12" customHeight="1">
      <c r="A99" s="107"/>
      <c r="B99" s="52"/>
    </row>
    <row r="100" spans="1:6" ht="12" customHeight="1">
      <c r="B100" s="104" t="s">
        <v>33</v>
      </c>
      <c r="D100" s="108"/>
      <c r="E100" s="437"/>
      <c r="F100" s="109"/>
    </row>
    <row r="101" spans="1:6" ht="12" customHeight="1">
      <c r="D101" s="111"/>
      <c r="E101" s="437"/>
      <c r="F101" s="112"/>
    </row>
    <row r="102" spans="1:6" ht="12" customHeight="1"/>
    <row r="103" spans="1:6" ht="12" customHeight="1"/>
    <row r="104" spans="1:6" ht="12" customHeight="1"/>
    <row r="105" spans="1:6" ht="12" customHeight="1"/>
    <row r="106" spans="1:6" ht="12" customHeight="1"/>
    <row r="107" spans="1:6" ht="12" customHeight="1"/>
    <row r="108" spans="1:6" ht="12" customHeight="1"/>
    <row r="109" spans="1:6" ht="12" customHeight="1"/>
    <row r="110" spans="1:6" ht="12" customHeight="1"/>
    <row r="111" spans="1:6" ht="12" customHeight="1"/>
    <row r="112" spans="1:6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</sheetData>
  <mergeCells count="13">
    <mergeCell ref="E9:F9"/>
    <mergeCell ref="A1:F1"/>
    <mergeCell ref="A2:F2"/>
    <mergeCell ref="A3:F3"/>
    <mergeCell ref="A4:F4"/>
    <mergeCell ref="E8:F8"/>
    <mergeCell ref="A95:E95"/>
    <mergeCell ref="E11:F11"/>
    <mergeCell ref="C30:E30"/>
    <mergeCell ref="B32:B36"/>
    <mergeCell ref="C42:E42"/>
    <mergeCell ref="C65:E65"/>
    <mergeCell ref="C93:E93"/>
  </mergeCells>
  <conditionalFormatting sqref="E10">
    <cfRule type="cellIs" dxfId="33" priority="4" operator="equal">
      <formula>0</formula>
    </cfRule>
  </conditionalFormatting>
  <conditionalFormatting sqref="E40">
    <cfRule type="cellIs" dxfId="32" priority="3" operator="equal">
      <formula>0</formula>
    </cfRule>
  </conditionalFormatting>
  <conditionalFormatting sqref="E46:E63">
    <cfRule type="cellIs" dxfId="31" priority="2" operator="equal">
      <formula>0</formula>
    </cfRule>
  </conditionalFormatting>
  <conditionalFormatting sqref="E69:E71 E74:E78 E81:E88 E91">
    <cfRule type="cellIs" dxfId="3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3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2482E-5F31-4485-97A8-3E497150259D}">
  <sheetPr codeName="Feuil83">
    <pageSetUpPr fitToPage="1"/>
  </sheetPr>
  <dimension ref="A1:G263"/>
  <sheetViews>
    <sheetView zoomScaleNormal="100" zoomScaleSheetLayoutView="100" workbookViewId="0">
      <selection activeCell="H36" sqref="H36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556</v>
      </c>
      <c r="B3" s="493"/>
      <c r="C3" s="493"/>
      <c r="D3" s="493"/>
      <c r="E3" s="493"/>
      <c r="F3" s="494"/>
    </row>
    <row r="4" spans="1:6" s="1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s="1" customFormat="1" ht="12" customHeight="1">
      <c r="A13" s="39"/>
      <c r="B13" s="40" t="s">
        <v>18</v>
      </c>
      <c r="C13" s="41"/>
      <c r="D13" s="32"/>
      <c r="E13" s="29"/>
      <c r="F13" s="26"/>
    </row>
    <row r="14" spans="1:6" s="1" customFormat="1" ht="12" customHeight="1">
      <c r="A14" s="39"/>
      <c r="B14" s="40" t="s">
        <v>508</v>
      </c>
      <c r="C14" s="41"/>
      <c r="D14" s="32"/>
      <c r="E14" s="29"/>
      <c r="F14" s="26"/>
    </row>
    <row r="15" spans="1:6" s="1" customFormat="1" ht="12" customHeight="1">
      <c r="A15" s="39"/>
      <c r="B15" s="40" t="s">
        <v>20</v>
      </c>
      <c r="C15" s="41"/>
      <c r="D15" s="32"/>
      <c r="E15" s="29"/>
      <c r="F15" s="26"/>
    </row>
    <row r="16" spans="1:6" s="1" customFormat="1" ht="12" customHeight="1">
      <c r="A16" s="39"/>
      <c r="B16" s="40" t="s">
        <v>21</v>
      </c>
      <c r="C16" s="44"/>
      <c r="D16" s="32"/>
      <c r="E16" s="29"/>
      <c r="F16" s="26"/>
    </row>
    <row r="17" spans="1:6" s="1" customFormat="1" ht="12" customHeight="1">
      <c r="A17" s="39"/>
      <c r="B17" s="40" t="s">
        <v>22</v>
      </c>
      <c r="C17" s="41"/>
      <c r="D17" s="32"/>
      <c r="E17" s="29"/>
      <c r="F17" s="26"/>
    </row>
    <row r="18" spans="1:6" s="1" customFormat="1" ht="12" customHeight="1">
      <c r="A18" s="39"/>
      <c r="B18" s="40" t="s">
        <v>23</v>
      </c>
      <c r="C18" s="41"/>
      <c r="D18" s="32"/>
      <c r="E18" s="29"/>
      <c r="F18" s="26"/>
    </row>
    <row r="19" spans="1:6" s="1" customFormat="1" ht="12" customHeight="1">
      <c r="A19" s="39"/>
      <c r="B19" s="40" t="s">
        <v>24</v>
      </c>
      <c r="C19" s="41"/>
      <c r="D19" s="32"/>
      <c r="E19" s="29"/>
      <c r="F19" s="26"/>
    </row>
    <row r="20" spans="1:6" s="1" customFormat="1" ht="12" customHeight="1">
      <c r="A20" s="39"/>
      <c r="B20" s="40" t="s">
        <v>509</v>
      </c>
      <c r="C20" s="41"/>
      <c r="D20" s="32"/>
      <c r="E20" s="29"/>
      <c r="F20" s="26"/>
    </row>
    <row r="21" spans="1:6" s="1" customFormat="1" ht="12" customHeight="1">
      <c r="A21" s="39"/>
      <c r="B21" s="40" t="s">
        <v>26</v>
      </c>
      <c r="C21" s="41"/>
      <c r="D21" s="32"/>
      <c r="E21" s="29"/>
      <c r="F21" s="26"/>
    </row>
    <row r="22" spans="1:6" s="1" customFormat="1" ht="12" customHeight="1">
      <c r="A22" s="39"/>
      <c r="B22" s="40" t="s">
        <v>27</v>
      </c>
      <c r="C22" s="41"/>
      <c r="D22" s="32"/>
      <c r="E22" s="29"/>
      <c r="F22" s="26"/>
    </row>
    <row r="23" spans="1:6" s="1" customFormat="1" ht="12" customHeight="1">
      <c r="A23" s="39"/>
      <c r="B23" s="40" t="s">
        <v>510</v>
      </c>
      <c r="C23" s="41"/>
      <c r="D23" s="32"/>
      <c r="E23" s="29"/>
      <c r="F23" s="26"/>
    </row>
    <row r="24" spans="1:6" s="1" customFormat="1" ht="12" customHeight="1">
      <c r="A24" s="39"/>
      <c r="B24" s="40" t="s">
        <v>29</v>
      </c>
      <c r="C24" s="41"/>
      <c r="D24" s="32"/>
      <c r="E24" s="29"/>
      <c r="F24" s="26"/>
    </row>
    <row r="25" spans="1:6" s="1" customFormat="1" ht="12" customHeight="1">
      <c r="A25" s="39"/>
      <c r="B25" s="40" t="s">
        <v>31</v>
      </c>
      <c r="C25" s="41"/>
      <c r="D25" s="32"/>
      <c r="E25" s="29"/>
      <c r="F25" s="26"/>
    </row>
    <row r="26" spans="1:6" s="1" customFormat="1" ht="12" customHeight="1">
      <c r="A26" s="39"/>
      <c r="B26" s="40" t="s">
        <v>32</v>
      </c>
      <c r="C26" s="41"/>
      <c r="D26" s="32"/>
      <c r="E26" s="29"/>
      <c r="F26" s="26"/>
    </row>
    <row r="27" spans="1:6" s="1" customFormat="1" ht="12" customHeight="1">
      <c r="A27" s="39"/>
      <c r="B27" s="40" t="s">
        <v>34</v>
      </c>
      <c r="C27" s="41"/>
      <c r="D27" s="32"/>
      <c r="E27" s="29"/>
      <c r="F27" s="26"/>
    </row>
    <row r="28" spans="1:6" s="1" customFormat="1" ht="12" customHeight="1">
      <c r="A28" s="39"/>
      <c r="B28" s="40" t="s">
        <v>35</v>
      </c>
      <c r="C28" s="41"/>
      <c r="D28" s="32"/>
      <c r="E28" s="29"/>
      <c r="F28" s="26"/>
    </row>
    <row r="29" spans="1:6" ht="12" customHeight="1" thickBot="1">
      <c r="A29" s="22"/>
      <c r="B29" s="324"/>
      <c r="C29" s="310"/>
      <c r="D29" s="77"/>
      <c r="E29" s="78"/>
      <c r="F29" s="412"/>
    </row>
    <row r="30" spans="1:6" s="46" customFormat="1" ht="27" customHeight="1" thickTop="1" thickBot="1">
      <c r="A30" s="90"/>
      <c r="B30" s="81"/>
      <c r="C30" s="474" t="s">
        <v>10</v>
      </c>
      <c r="D30" s="475"/>
      <c r="E30" s="476"/>
      <c r="F30" s="51"/>
    </row>
    <row r="31" spans="1:6" ht="12" customHeight="1" thickTop="1" thickBot="1">
      <c r="A31" s="22"/>
      <c r="B31" s="393"/>
      <c r="C31" s="423"/>
      <c r="D31" s="53"/>
      <c r="E31" s="424"/>
      <c r="F31" s="425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6" ht="12" customHeight="1">
      <c r="A33" s="419"/>
      <c r="B33" s="484"/>
      <c r="C33" s="380"/>
      <c r="D33" s="426"/>
      <c r="E33" s="427"/>
      <c r="F33" s="428"/>
    </row>
    <row r="34" spans="1:6" ht="12" customHeight="1">
      <c r="A34" s="419"/>
      <c r="B34" s="484"/>
      <c r="C34" s="380"/>
      <c r="D34" s="426" t="s">
        <v>33</v>
      </c>
      <c r="E34" s="427"/>
      <c r="F34" s="428"/>
    </row>
    <row r="35" spans="1:6" ht="12" customHeight="1">
      <c r="A35" s="419"/>
      <c r="B35" s="484"/>
      <c r="C35" s="380"/>
      <c r="D35" s="426"/>
      <c r="E35" s="427"/>
      <c r="F35" s="428"/>
    </row>
    <row r="36" spans="1:6" ht="12" customHeight="1" thickBot="1">
      <c r="A36" s="419"/>
      <c r="B36" s="485"/>
      <c r="C36" s="380"/>
      <c r="D36" s="426"/>
      <c r="E36" s="427"/>
      <c r="F36" s="428"/>
    </row>
    <row r="37" spans="1:6" ht="12" customHeight="1" thickTop="1">
      <c r="A37" s="22"/>
      <c r="B37" s="68"/>
      <c r="C37" s="24"/>
      <c r="D37" s="32"/>
      <c r="E37" s="29"/>
      <c r="F37" s="26"/>
    </row>
    <row r="38" spans="1:6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6" ht="15" customHeight="1">
      <c r="A39" s="22"/>
      <c r="B39" s="61" t="s">
        <v>39</v>
      </c>
      <c r="C39" s="24"/>
      <c r="D39" s="32"/>
      <c r="E39" s="29"/>
      <c r="F39" s="26"/>
    </row>
    <row r="40" spans="1:6" s="1" customFormat="1" ht="12" customHeight="1">
      <c r="A40" s="39"/>
      <c r="B40" s="63" t="s">
        <v>557</v>
      </c>
      <c r="C40" s="24" t="s">
        <v>41</v>
      </c>
      <c r="D40" s="32">
        <v>289.23</v>
      </c>
      <c r="E40" s="29"/>
      <c r="F40" s="30"/>
    </row>
    <row r="41" spans="1:6" s="1" customFormat="1" ht="12" customHeight="1" thickBot="1">
      <c r="A41" s="39"/>
      <c r="B41" s="66"/>
      <c r="C41" s="24"/>
      <c r="D41" s="77"/>
      <c r="E41" s="84"/>
      <c r="F41" s="30"/>
    </row>
    <row r="42" spans="1:6" s="46" customFormat="1" ht="27" customHeight="1" thickTop="1" thickBot="1">
      <c r="A42" s="90"/>
      <c r="B42" s="81"/>
      <c r="C42" s="474" t="str">
        <f>+B38</f>
        <v>DEMOLITION - DEPOSE</v>
      </c>
      <c r="D42" s="475"/>
      <c r="E42" s="476"/>
      <c r="F42" s="51"/>
    </row>
    <row r="43" spans="1:6" ht="12" customHeight="1" thickTop="1">
      <c r="A43" s="22"/>
      <c r="B43" s="68"/>
      <c r="C43" s="24"/>
      <c r="D43" s="53"/>
      <c r="E43" s="54"/>
      <c r="F43" s="26"/>
    </row>
    <row r="44" spans="1:6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6" ht="15" customHeight="1">
      <c r="A45" s="22"/>
      <c r="B45" s="61" t="s">
        <v>43</v>
      </c>
      <c r="C45" s="69"/>
      <c r="D45" s="32"/>
      <c r="E45" s="308"/>
      <c r="F45" s="327"/>
    </row>
    <row r="46" spans="1:6" s="64" customFormat="1" ht="12" customHeight="1">
      <c r="A46" s="39"/>
      <c r="B46" s="63" t="s">
        <v>558</v>
      </c>
      <c r="C46" s="312" t="s">
        <v>41</v>
      </c>
      <c r="D46" s="32">
        <f>(41.52*2.7)-((0.9*2.25)+(4*1.5*1.7)+(1.5*2.25)+(2*1*2.1))</f>
        <v>92.304000000000016</v>
      </c>
      <c r="E46" s="29"/>
      <c r="F46" s="30"/>
    </row>
    <row r="47" spans="1:6" s="1" customFormat="1" ht="12" customHeight="1">
      <c r="A47" s="39"/>
      <c r="B47" s="63" t="s">
        <v>542</v>
      </c>
      <c r="C47" s="312" t="s">
        <v>41</v>
      </c>
      <c r="D47" s="32">
        <f>(8.38*2.7)-((1*2.1)+(0.8*0.6))</f>
        <v>20.046000000000006</v>
      </c>
      <c r="E47" s="29"/>
      <c r="F47" s="30"/>
    </row>
    <row r="48" spans="1:6" s="1" customFormat="1" ht="12" customHeight="1">
      <c r="A48" s="39"/>
      <c r="B48" s="63" t="s">
        <v>543</v>
      </c>
      <c r="C48" s="312" t="s">
        <v>41</v>
      </c>
      <c r="D48" s="32">
        <f>(8.38*2.7)-((1*2.1)+(0.8*0.6))</f>
        <v>20.046000000000006</v>
      </c>
      <c r="E48" s="29"/>
      <c r="F48" s="30"/>
    </row>
    <row r="49" spans="1:7" s="1" customFormat="1" ht="12" customHeight="1" thickBot="1">
      <c r="A49" s="39"/>
      <c r="B49" s="66"/>
      <c r="C49" s="24"/>
      <c r="D49" s="77"/>
      <c r="E49" s="84"/>
      <c r="F49" s="30"/>
    </row>
    <row r="50" spans="1:7" s="46" customFormat="1" ht="27" customHeight="1" thickTop="1" thickBot="1">
      <c r="A50" s="90"/>
      <c r="B50" s="81"/>
      <c r="C50" s="474" t="s">
        <v>52</v>
      </c>
      <c r="D50" s="475"/>
      <c r="E50" s="476"/>
      <c r="F50" s="51"/>
    </row>
    <row r="51" spans="1:7" ht="12" customHeight="1" thickTop="1" thickBot="1">
      <c r="A51" s="440"/>
      <c r="B51" s="441"/>
      <c r="C51" s="83"/>
      <c r="D51" s="442"/>
      <c r="E51" s="443"/>
      <c r="F51" s="444"/>
    </row>
    <row r="52" spans="1:7" s="89" customFormat="1" ht="20.100000000000001" customHeight="1" thickTop="1">
      <c r="A52" s="348">
        <f>A44+0.1</f>
        <v>10.399999999999999</v>
      </c>
      <c r="B52" s="433" t="s">
        <v>53</v>
      </c>
      <c r="C52" s="434"/>
      <c r="D52" s="435"/>
      <c r="E52" s="414"/>
      <c r="F52" s="436"/>
    </row>
    <row r="53" spans="1:7" s="46" customFormat="1" ht="24">
      <c r="A53" s="22"/>
      <c r="B53" s="61" t="s">
        <v>56</v>
      </c>
      <c r="C53" s="24"/>
      <c r="D53" s="32"/>
      <c r="E53" s="29"/>
      <c r="F53" s="26"/>
    </row>
    <row r="54" spans="1:7" s="1" customFormat="1" ht="12" customHeight="1">
      <c r="A54" s="39"/>
      <c r="B54" s="63" t="s">
        <v>549</v>
      </c>
      <c r="C54" s="24" t="s">
        <v>41</v>
      </c>
      <c r="D54" s="32">
        <v>4.25</v>
      </c>
      <c r="E54" s="29"/>
      <c r="F54" s="30"/>
      <c r="G54" s="64"/>
    </row>
    <row r="55" spans="1:7" s="1" customFormat="1" ht="12" customHeight="1">
      <c r="A55" s="39"/>
      <c r="B55" s="63" t="s">
        <v>550</v>
      </c>
      <c r="C55" s="24" t="s">
        <v>41</v>
      </c>
      <c r="D55" s="32">
        <v>4.25</v>
      </c>
      <c r="E55" s="29"/>
      <c r="F55" s="30"/>
      <c r="G55" s="64"/>
    </row>
    <row r="56" spans="1:7" s="1" customFormat="1" ht="12" customHeight="1">
      <c r="A56" s="39"/>
      <c r="B56" s="66"/>
      <c r="C56" s="24"/>
      <c r="D56" s="32"/>
      <c r="E56" s="29"/>
      <c r="F56" s="30"/>
    </row>
    <row r="57" spans="1:7" s="46" customFormat="1" ht="15" customHeight="1">
      <c r="A57" s="22"/>
      <c r="B57" s="61" t="s">
        <v>141</v>
      </c>
      <c r="C57" s="24"/>
      <c r="D57" s="32"/>
      <c r="E57" s="29"/>
      <c r="F57" s="26"/>
    </row>
    <row r="58" spans="1:7" s="1" customFormat="1" ht="12" customHeight="1">
      <c r="A58" s="39"/>
      <c r="B58" s="63" t="s">
        <v>558</v>
      </c>
      <c r="C58" s="24" t="s">
        <v>41</v>
      </c>
      <c r="D58" s="32">
        <v>71.5</v>
      </c>
      <c r="E58" s="29"/>
      <c r="F58" s="30"/>
      <c r="G58" s="64"/>
    </row>
    <row r="59" spans="1:7" s="1" customFormat="1" ht="12" customHeight="1" thickBot="1">
      <c r="A59" s="39"/>
      <c r="B59" s="66"/>
      <c r="C59" s="24"/>
      <c r="D59" s="32"/>
      <c r="E59" s="57"/>
      <c r="F59" s="30"/>
    </row>
    <row r="60" spans="1:7" s="46" customFormat="1" ht="27" customHeight="1" thickTop="1" thickBot="1">
      <c r="A60" s="90"/>
      <c r="B60" s="81" t="s">
        <v>33</v>
      </c>
      <c r="C60" s="474" t="str">
        <f>+B52</f>
        <v>FAUX PLAFOND</v>
      </c>
      <c r="D60" s="475"/>
      <c r="E60" s="476"/>
      <c r="F60" s="51"/>
    </row>
    <row r="61" spans="1:7" s="46" customFormat="1" ht="12" customHeight="1" thickTop="1" thickBot="1">
      <c r="A61" s="90"/>
      <c r="B61" s="63"/>
      <c r="C61" s="69"/>
      <c r="D61" s="53"/>
      <c r="E61" s="362"/>
      <c r="F61" s="30"/>
    </row>
    <row r="62" spans="1:7" s="46" customFormat="1" ht="30" customHeight="1" thickTop="1" thickBot="1">
      <c r="A62" s="477" t="s">
        <v>63</v>
      </c>
      <c r="B62" s="478"/>
      <c r="C62" s="478"/>
      <c r="D62" s="478"/>
      <c r="E62" s="479"/>
      <c r="F62" s="102"/>
    </row>
    <row r="63" spans="1:7" ht="12" customHeight="1" thickTop="1"/>
    <row r="64" spans="1:7" ht="12" customHeight="1">
      <c r="A64" s="107" t="s">
        <v>64</v>
      </c>
      <c r="B64" s="52"/>
    </row>
    <row r="65" spans="4:6" ht="12" customHeight="1"/>
    <row r="66" spans="4:6" ht="12" customHeight="1">
      <c r="D66" s="108"/>
      <c r="E66" s="437"/>
      <c r="F66" s="109"/>
    </row>
    <row r="67" spans="4:6" ht="12" customHeight="1">
      <c r="D67" s="111"/>
      <c r="E67" s="437"/>
      <c r="F67" s="112"/>
    </row>
    <row r="68" spans="4:6" ht="12" customHeight="1"/>
    <row r="69" spans="4:6" ht="12" customHeight="1"/>
    <row r="70" spans="4:6" ht="12" customHeight="1"/>
    <row r="71" spans="4:6" ht="12" customHeight="1"/>
    <row r="72" spans="4:6" ht="12" customHeight="1"/>
    <row r="73" spans="4:6" ht="12" customHeight="1"/>
    <row r="74" spans="4:6" ht="12" customHeight="1"/>
    <row r="75" spans="4:6" ht="12" customHeight="1"/>
    <row r="76" spans="4:6" ht="12" customHeight="1"/>
    <row r="77" spans="4:6" ht="12" customHeight="1"/>
    <row r="78" spans="4:6" ht="12" customHeight="1"/>
    <row r="79" spans="4:6" ht="12" customHeight="1"/>
    <row r="80" spans="4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3">
    <mergeCell ref="E9:F9"/>
    <mergeCell ref="A1:F1"/>
    <mergeCell ref="A2:F2"/>
    <mergeCell ref="A3:F3"/>
    <mergeCell ref="A4:F4"/>
    <mergeCell ref="E8:F8"/>
    <mergeCell ref="A62:E62"/>
    <mergeCell ref="E11:F11"/>
    <mergeCell ref="C30:E30"/>
    <mergeCell ref="B32:B36"/>
    <mergeCell ref="C42:E42"/>
    <mergeCell ref="C50:E50"/>
    <mergeCell ref="C60:E60"/>
  </mergeCells>
  <conditionalFormatting sqref="E10">
    <cfRule type="cellIs" dxfId="29" priority="3" operator="equal">
      <formula>0</formula>
    </cfRule>
  </conditionalFormatting>
  <conditionalFormatting sqref="E40">
    <cfRule type="cellIs" dxfId="28" priority="4" operator="equal">
      <formula>0</formula>
    </cfRule>
  </conditionalFormatting>
  <conditionalFormatting sqref="E46:E48">
    <cfRule type="cellIs" dxfId="27" priority="2" operator="equal">
      <formula>0</formula>
    </cfRule>
  </conditionalFormatting>
  <conditionalFormatting sqref="E54:E55 E58">
    <cfRule type="cellIs" dxfId="2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1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7A61-5089-4240-B655-49F48EBE552B}">
  <sheetPr codeName="Feuil84">
    <pageSetUpPr fitToPage="1"/>
  </sheetPr>
  <dimension ref="A1:G262"/>
  <sheetViews>
    <sheetView zoomScaleNormal="100" zoomScaleSheetLayoutView="100" workbookViewId="0">
      <selection activeCell="L17" sqref="K15:L17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559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1"/>
      <c r="D13" s="32"/>
      <c r="E13" s="29"/>
      <c r="F13" s="26"/>
    </row>
    <row r="14" spans="1:6" customFormat="1" ht="12" customHeight="1">
      <c r="A14" s="39"/>
      <c r="B14" s="40" t="s">
        <v>508</v>
      </c>
      <c r="C14" s="41"/>
      <c r="D14" s="32"/>
      <c r="E14" s="29"/>
      <c r="F14" s="26"/>
    </row>
    <row r="15" spans="1:6" customFormat="1" ht="12" customHeight="1">
      <c r="A15" s="39"/>
      <c r="B15" s="40" t="s">
        <v>20</v>
      </c>
      <c r="C15" s="41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32"/>
      <c r="E17" s="29"/>
      <c r="F17" s="26"/>
    </row>
    <row r="18" spans="1:6" customFormat="1" ht="12" customHeight="1">
      <c r="A18" s="39"/>
      <c r="B18" s="40" t="s">
        <v>23</v>
      </c>
      <c r="C18" s="41"/>
      <c r="D18" s="32"/>
      <c r="E18" s="29"/>
      <c r="F18" s="26"/>
    </row>
    <row r="19" spans="1:6" customFormat="1" ht="12" customHeight="1">
      <c r="A19" s="39"/>
      <c r="B19" s="40" t="s">
        <v>24</v>
      </c>
      <c r="C19" s="41"/>
      <c r="D19" s="32"/>
      <c r="E19" s="29"/>
      <c r="F19" s="26"/>
    </row>
    <row r="20" spans="1:6" customFormat="1" ht="12" customHeight="1">
      <c r="A20" s="39"/>
      <c r="B20" s="40" t="s">
        <v>509</v>
      </c>
      <c r="C20" s="41"/>
      <c r="D20" s="32"/>
      <c r="E20" s="29"/>
      <c r="F20" s="26"/>
    </row>
    <row r="21" spans="1:6" customFormat="1" ht="12" customHeight="1">
      <c r="A21" s="39"/>
      <c r="B21" s="40" t="s">
        <v>26</v>
      </c>
      <c r="C21" s="41"/>
      <c r="D21" s="32"/>
      <c r="E21" s="29"/>
      <c r="F21" s="26"/>
    </row>
    <row r="22" spans="1:6" customFormat="1" ht="12" customHeight="1">
      <c r="A22" s="39"/>
      <c r="B22" s="40" t="s">
        <v>27</v>
      </c>
      <c r="C22" s="41"/>
      <c r="D22" s="32"/>
      <c r="E22" s="29"/>
      <c r="F22" s="26"/>
    </row>
    <row r="23" spans="1:6" customFormat="1" ht="12" customHeight="1">
      <c r="A23" s="39"/>
      <c r="B23" s="40" t="s">
        <v>510</v>
      </c>
      <c r="C23" s="41"/>
      <c r="D23" s="32"/>
      <c r="E23" s="29"/>
      <c r="F23" s="26"/>
    </row>
    <row r="24" spans="1:6" customFormat="1" ht="12" customHeight="1">
      <c r="A24" s="39"/>
      <c r="B24" s="40" t="s">
        <v>29</v>
      </c>
      <c r="C24" s="41"/>
      <c r="D24" s="32"/>
      <c r="E24" s="29"/>
      <c r="F24" s="26"/>
    </row>
    <row r="25" spans="1:6" customFormat="1" ht="12" customHeight="1">
      <c r="A25" s="39"/>
      <c r="B25" s="40" t="s">
        <v>31</v>
      </c>
      <c r="C25" s="41"/>
      <c r="D25" s="32"/>
      <c r="E25" s="29"/>
      <c r="F25" s="26"/>
    </row>
    <row r="26" spans="1:6" customFormat="1" ht="12" customHeight="1">
      <c r="A26" s="39"/>
      <c r="B26" s="40" t="s">
        <v>32</v>
      </c>
      <c r="C26" s="41"/>
      <c r="D26" s="32"/>
      <c r="E26" s="29"/>
      <c r="F26" s="26"/>
    </row>
    <row r="27" spans="1:6" customFormat="1" ht="12" customHeight="1">
      <c r="A27" s="39"/>
      <c r="B27" s="40" t="s">
        <v>34</v>
      </c>
      <c r="C27" s="41"/>
      <c r="D27" s="32"/>
      <c r="E27" s="29"/>
      <c r="F27" s="26"/>
    </row>
    <row r="28" spans="1:6" customFormat="1" ht="12" customHeight="1">
      <c r="A28" s="39"/>
      <c r="B28" s="40" t="s">
        <v>35</v>
      </c>
      <c r="C28" s="41"/>
      <c r="D28" s="32"/>
      <c r="E28" s="29"/>
      <c r="F28" s="26"/>
    </row>
    <row r="29" spans="1:6" ht="12" customHeight="1" thickBot="1">
      <c r="A29" s="22"/>
      <c r="B29" s="324"/>
      <c r="C29" s="310"/>
      <c r="D29" s="77"/>
      <c r="E29" s="78"/>
      <c r="F29" s="412"/>
    </row>
    <row r="30" spans="1:6" s="46" customFormat="1" ht="27" customHeight="1" thickTop="1" thickBot="1">
      <c r="A30" s="90"/>
      <c r="B30" s="81"/>
      <c r="C30" s="474" t="s">
        <v>10</v>
      </c>
      <c r="D30" s="475"/>
      <c r="E30" s="476"/>
      <c r="F30" s="51"/>
    </row>
    <row r="31" spans="1:6" ht="12" customHeight="1" thickTop="1" thickBot="1">
      <c r="A31" s="22"/>
      <c r="B31" s="393"/>
      <c r="C31" s="423"/>
      <c r="D31" s="53"/>
      <c r="E31" s="424"/>
      <c r="F31" s="425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>
        <f>A38+0.001</f>
        <v>10.200999999999999</v>
      </c>
      <c r="B39" s="61" t="s">
        <v>39</v>
      </c>
      <c r="C39" s="24"/>
      <c r="D39" s="32"/>
      <c r="E39" s="29"/>
      <c r="F39" s="26"/>
    </row>
    <row r="40" spans="1:7" s="64" customFormat="1" ht="12" customHeight="1">
      <c r="A40" s="39"/>
      <c r="B40" s="63" t="s">
        <v>560</v>
      </c>
      <c r="C40" s="24" t="s">
        <v>41</v>
      </c>
      <c r="D40" s="32">
        <v>180.64</v>
      </c>
      <c r="E40" s="29"/>
      <c r="F40" s="30"/>
      <c r="G40" s="1"/>
    </row>
    <row r="41" spans="1:7" s="64" customFormat="1" ht="12" customHeight="1" thickBot="1">
      <c r="A41" s="39"/>
      <c r="B41" s="66"/>
      <c r="C41" s="24"/>
      <c r="D41" s="77"/>
      <c r="E41" s="84"/>
      <c r="F41" s="30"/>
    </row>
    <row r="42" spans="1:7" s="46" customFormat="1" ht="27" customHeight="1" thickTop="1" thickBot="1">
      <c r="A42" s="90"/>
      <c r="B42" s="81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24"/>
      <c r="D43" s="53"/>
      <c r="E43" s="54"/>
      <c r="F43" s="26"/>
    </row>
    <row r="44" spans="1:7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308"/>
      <c r="F45" s="327"/>
    </row>
    <row r="46" spans="1:7" s="64" customFormat="1" ht="12" customHeight="1">
      <c r="A46" s="39"/>
      <c r="B46" s="63" t="s">
        <v>561</v>
      </c>
      <c r="C46" s="24" t="s">
        <v>41</v>
      </c>
      <c r="D46" s="32">
        <f>(55*2.7)-((0.9*2.1)+(14*1.5*1.7)+(1.5*2*2.1))</f>
        <v>104.61</v>
      </c>
      <c r="E46" s="29"/>
      <c r="F46" s="30"/>
    </row>
    <row r="47" spans="1:7" s="64" customFormat="1" ht="12" customHeight="1">
      <c r="A47" s="39"/>
      <c r="B47" s="63" t="s">
        <v>562</v>
      </c>
      <c r="C47" s="24" t="s">
        <v>41</v>
      </c>
      <c r="D47" s="32">
        <f>(20.48*2.7)-((0.9*2.1)+(6*1.5*1.7)+(1.5*2.1))</f>
        <v>34.95600000000001</v>
      </c>
      <c r="E47" s="29"/>
      <c r="F47" s="30"/>
    </row>
    <row r="48" spans="1:7" s="64" customFormat="1" ht="12" customHeight="1">
      <c r="A48" s="39"/>
      <c r="B48" s="63" t="s">
        <v>563</v>
      </c>
      <c r="C48" s="24" t="s">
        <v>41</v>
      </c>
      <c r="D48" s="32">
        <f>(13.66*2.7)-(2*1.5*2.1)</f>
        <v>30.582000000000004</v>
      </c>
      <c r="E48" s="29"/>
      <c r="F48" s="30"/>
    </row>
    <row r="49" spans="1:6" s="64" customFormat="1" ht="12" customHeight="1">
      <c r="A49" s="39"/>
      <c r="B49" s="63" t="s">
        <v>564</v>
      </c>
      <c r="C49" s="24" t="s">
        <v>41</v>
      </c>
      <c r="D49" s="32">
        <f>(7.14*2.7)-(2*1.5*1.7)</f>
        <v>14.177999999999999</v>
      </c>
      <c r="E49" s="29"/>
      <c r="F49" s="30"/>
    </row>
    <row r="50" spans="1:6" s="64" customFormat="1" ht="12" customHeight="1" thickBot="1">
      <c r="A50" s="39"/>
      <c r="B50" s="66"/>
      <c r="C50" s="24"/>
      <c r="D50" s="77"/>
      <c r="E50" s="84"/>
      <c r="F50" s="30"/>
    </row>
    <row r="51" spans="1:6" s="46" customFormat="1" ht="27" customHeight="1" thickTop="1" thickBot="1">
      <c r="A51" s="90"/>
      <c r="B51" s="81"/>
      <c r="C51" s="474" t="s">
        <v>52</v>
      </c>
      <c r="D51" s="475"/>
      <c r="E51" s="476"/>
      <c r="F51" s="51"/>
    </row>
    <row r="52" spans="1:6" ht="12" customHeight="1" thickTop="1" thickBot="1">
      <c r="A52" s="440"/>
      <c r="B52" s="441"/>
      <c r="C52" s="83"/>
      <c r="D52" s="442"/>
      <c r="E52" s="443"/>
      <c r="F52" s="444"/>
    </row>
    <row r="53" spans="1:6" s="89" customFormat="1" ht="20.100000000000001" customHeight="1" thickTop="1">
      <c r="A53" s="348">
        <f>A44+0.1</f>
        <v>10.399999999999999</v>
      </c>
      <c r="B53" s="433" t="s">
        <v>53</v>
      </c>
      <c r="C53" s="434"/>
      <c r="D53" s="435"/>
      <c r="E53" s="414"/>
      <c r="F53" s="436"/>
    </row>
    <row r="54" spans="1:6" s="46" customFormat="1">
      <c r="A54" s="22"/>
      <c r="B54" s="61" t="s">
        <v>141</v>
      </c>
      <c r="C54" s="24"/>
      <c r="D54" s="32"/>
      <c r="E54" s="29"/>
      <c r="F54" s="26"/>
    </row>
    <row r="55" spans="1:6" s="64" customFormat="1" ht="12" customHeight="1">
      <c r="A55" s="39"/>
      <c r="B55" s="63" t="s">
        <v>562</v>
      </c>
      <c r="C55" s="24" t="s">
        <v>41</v>
      </c>
      <c r="D55" s="32">
        <v>23.05</v>
      </c>
      <c r="E55" s="29"/>
      <c r="F55" s="30"/>
    </row>
    <row r="56" spans="1:6" s="64" customFormat="1" ht="12" customHeight="1">
      <c r="A56" s="39"/>
      <c r="B56" s="63" t="s">
        <v>561</v>
      </c>
      <c r="C56" s="24" t="s">
        <v>41</v>
      </c>
      <c r="D56" s="32">
        <v>144.6</v>
      </c>
      <c r="E56" s="29"/>
      <c r="F56" s="30"/>
    </row>
    <row r="57" spans="1:6" s="64" customFormat="1" ht="12" customHeight="1">
      <c r="A57" s="39"/>
      <c r="B57" s="66"/>
      <c r="C57" s="24"/>
      <c r="D57" s="32"/>
      <c r="E57" s="57"/>
      <c r="F57" s="30"/>
    </row>
    <row r="58" spans="1:6" s="46" customFormat="1" ht="15" customHeight="1">
      <c r="A58" s="22"/>
      <c r="B58" s="61" t="s">
        <v>132</v>
      </c>
      <c r="C58" s="24"/>
      <c r="D58" s="32"/>
      <c r="E58" s="29"/>
      <c r="F58" s="26"/>
    </row>
    <row r="59" spans="1:6" s="64" customFormat="1" ht="12" customHeight="1">
      <c r="A59" s="39"/>
      <c r="B59" s="63" t="s">
        <v>565</v>
      </c>
      <c r="C59" s="24" t="s">
        <v>41</v>
      </c>
      <c r="D59" s="32">
        <v>6.66</v>
      </c>
      <c r="E59" s="29"/>
      <c r="F59" s="30"/>
    </row>
    <row r="60" spans="1:6" s="64" customFormat="1" ht="12" customHeight="1">
      <c r="A60" s="39"/>
      <c r="B60" s="63" t="s">
        <v>566</v>
      </c>
      <c r="C60" s="24" t="s">
        <v>41</v>
      </c>
      <c r="D60" s="32">
        <v>6.33</v>
      </c>
      <c r="E60" s="29"/>
      <c r="F60" s="30"/>
    </row>
    <row r="61" spans="1:6" s="64" customFormat="1" ht="12" customHeight="1" thickBot="1">
      <c r="A61" s="39"/>
      <c r="B61" s="66"/>
      <c r="C61" s="24"/>
      <c r="D61" s="77"/>
      <c r="E61" s="84"/>
      <c r="F61" s="30"/>
    </row>
    <row r="62" spans="1:6" s="46" customFormat="1" ht="27" customHeight="1" thickTop="1" thickBot="1">
      <c r="A62" s="90"/>
      <c r="B62" s="81" t="s">
        <v>33</v>
      </c>
      <c r="C62" s="474" t="str">
        <f>+B53</f>
        <v>FAUX PLAFOND</v>
      </c>
      <c r="D62" s="475"/>
      <c r="E62" s="476"/>
      <c r="F62" s="51"/>
    </row>
    <row r="63" spans="1:6" s="46" customFormat="1" ht="12" customHeight="1" thickTop="1" thickBot="1">
      <c r="A63" s="90"/>
      <c r="B63" s="63"/>
      <c r="C63" s="69"/>
      <c r="D63" s="53"/>
      <c r="E63" s="362"/>
      <c r="F63" s="30"/>
    </row>
    <row r="64" spans="1:6" s="46" customFormat="1" ht="30" customHeight="1" thickTop="1" thickBot="1">
      <c r="A64" s="477" t="s">
        <v>63</v>
      </c>
      <c r="B64" s="478"/>
      <c r="C64" s="478"/>
      <c r="D64" s="478"/>
      <c r="E64" s="479"/>
      <c r="F64" s="102"/>
    </row>
    <row r="65" spans="1:6" ht="12" customHeight="1" thickTop="1"/>
    <row r="66" spans="1:6" ht="12" customHeight="1"/>
    <row r="67" spans="1:6" ht="12" customHeight="1">
      <c r="A67" s="107" t="s">
        <v>64</v>
      </c>
      <c r="B67" s="52"/>
    </row>
    <row r="68" spans="1:6" ht="12" customHeight="1"/>
    <row r="69" spans="1:6" ht="12" customHeight="1">
      <c r="D69" s="108"/>
      <c r="E69" s="437"/>
      <c r="F69" s="109"/>
    </row>
    <row r="70" spans="1:6" ht="12" customHeight="1">
      <c r="D70" s="111"/>
      <c r="E70" s="437"/>
      <c r="F70" s="112"/>
    </row>
    <row r="71" spans="1:6" ht="12" customHeight="1"/>
    <row r="72" spans="1:6" ht="12" customHeight="1"/>
    <row r="73" spans="1:6" ht="12" customHeight="1"/>
    <row r="74" spans="1:6" ht="12" customHeight="1"/>
    <row r="75" spans="1:6" ht="12" customHeight="1"/>
    <row r="76" spans="1:6" ht="12" customHeight="1"/>
    <row r="77" spans="1:6" ht="12" customHeight="1"/>
    <row r="78" spans="1:6" ht="12" customHeight="1"/>
    <row r="79" spans="1:6" ht="12" customHeight="1"/>
    <row r="80" spans="1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</sheetData>
  <mergeCells count="13">
    <mergeCell ref="E9:F9"/>
    <mergeCell ref="A1:F1"/>
    <mergeCell ref="A2:F2"/>
    <mergeCell ref="A3:F3"/>
    <mergeCell ref="A4:F4"/>
    <mergeCell ref="E8:F8"/>
    <mergeCell ref="A64:E64"/>
    <mergeCell ref="E11:F11"/>
    <mergeCell ref="C30:E30"/>
    <mergeCell ref="B32:B36"/>
    <mergeCell ref="C42:E42"/>
    <mergeCell ref="C51:E51"/>
    <mergeCell ref="C62:E62"/>
  </mergeCells>
  <conditionalFormatting sqref="E10">
    <cfRule type="cellIs" dxfId="25" priority="5" operator="equal">
      <formula>0</formula>
    </cfRule>
  </conditionalFormatting>
  <conditionalFormatting sqref="E40">
    <cfRule type="cellIs" dxfId="24" priority="4" operator="equal">
      <formula>0</formula>
    </cfRule>
  </conditionalFormatting>
  <conditionalFormatting sqref="E46:E49">
    <cfRule type="cellIs" dxfId="23" priority="3" operator="equal">
      <formula>0</formula>
    </cfRule>
  </conditionalFormatting>
  <conditionalFormatting sqref="E55:E56">
    <cfRule type="cellIs" dxfId="22" priority="2" operator="equal">
      <formula>0</formula>
    </cfRule>
  </conditionalFormatting>
  <conditionalFormatting sqref="E59:E60">
    <cfRule type="cellIs" dxfId="21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2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D2619-B3BD-4BF7-96C9-3825E40A84CB}">
  <sheetPr codeName="Feuil85">
    <pageSetUpPr fitToPage="1"/>
  </sheetPr>
  <dimension ref="A1:G243"/>
  <sheetViews>
    <sheetView topLeftCell="A34" zoomScaleNormal="100" zoomScaleSheetLayoutView="115" workbookViewId="0">
      <selection activeCell="E47" sqref="E47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567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30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4"/>
      <c r="D13" s="32"/>
      <c r="E13" s="29"/>
      <c r="F13" s="26"/>
    </row>
    <row r="14" spans="1:6" customFormat="1" ht="12" customHeight="1">
      <c r="A14" s="39"/>
      <c r="B14" s="40" t="s">
        <v>508</v>
      </c>
      <c r="C14" s="44"/>
      <c r="D14" s="32"/>
      <c r="E14" s="29"/>
      <c r="F14" s="26"/>
    </row>
    <row r="15" spans="1:6" customFormat="1" ht="12" customHeight="1">
      <c r="A15" s="39"/>
      <c r="B15" s="40" t="s">
        <v>20</v>
      </c>
      <c r="C15" s="44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4"/>
      <c r="D17" s="32"/>
      <c r="E17" s="29"/>
      <c r="F17" s="26"/>
    </row>
    <row r="18" spans="1:6" customFormat="1" ht="12" customHeight="1">
      <c r="A18" s="39"/>
      <c r="B18" s="40" t="s">
        <v>23</v>
      </c>
      <c r="C18" s="44"/>
      <c r="D18" s="32"/>
      <c r="E18" s="29"/>
      <c r="F18" s="26"/>
    </row>
    <row r="19" spans="1:6" customFormat="1" ht="12" customHeight="1">
      <c r="A19" s="39"/>
      <c r="B19" s="40" t="s">
        <v>24</v>
      </c>
      <c r="C19" s="44"/>
      <c r="D19" s="32"/>
      <c r="E19" s="29"/>
      <c r="F19" s="26"/>
    </row>
    <row r="20" spans="1:6" customFormat="1" ht="12" customHeight="1">
      <c r="A20" s="39"/>
      <c r="B20" s="40" t="s">
        <v>509</v>
      </c>
      <c r="C20" s="44"/>
      <c r="D20" s="32"/>
      <c r="E20" s="29"/>
      <c r="F20" s="26"/>
    </row>
    <row r="21" spans="1:6" customFormat="1" ht="12" customHeight="1">
      <c r="A21" s="39"/>
      <c r="B21" s="40" t="s">
        <v>26</v>
      </c>
      <c r="C21" s="44"/>
      <c r="D21" s="32"/>
      <c r="E21" s="29"/>
      <c r="F21" s="26"/>
    </row>
    <row r="22" spans="1:6" customFormat="1" ht="12" customHeight="1">
      <c r="A22" s="39"/>
      <c r="B22" s="40" t="s">
        <v>27</v>
      </c>
      <c r="C22" s="44"/>
      <c r="D22" s="32"/>
      <c r="E22" s="29"/>
      <c r="F22" s="26"/>
    </row>
    <row r="23" spans="1:6" customFormat="1" ht="12" customHeight="1">
      <c r="A23" s="39"/>
      <c r="B23" s="40" t="s">
        <v>510</v>
      </c>
      <c r="C23" s="44"/>
      <c r="D23" s="32"/>
      <c r="E23" s="29"/>
      <c r="F23" s="26"/>
    </row>
    <row r="24" spans="1:6" customFormat="1" ht="12" customHeight="1">
      <c r="A24" s="39"/>
      <c r="B24" s="40" t="s">
        <v>29</v>
      </c>
      <c r="C24" s="44"/>
      <c r="D24" s="32"/>
      <c r="E24" s="29"/>
      <c r="F24" s="26"/>
    </row>
    <row r="25" spans="1:6" customFormat="1" ht="12" customHeight="1">
      <c r="A25" s="39"/>
      <c r="B25" s="40" t="s">
        <v>31</v>
      </c>
      <c r="C25" s="44"/>
      <c r="D25" s="32"/>
      <c r="E25" s="29"/>
      <c r="F25" s="26"/>
    </row>
    <row r="26" spans="1:6" customFormat="1" ht="12" customHeight="1">
      <c r="A26" s="39"/>
      <c r="B26" s="40" t="s">
        <v>32</v>
      </c>
      <c r="C26" s="44"/>
      <c r="D26" s="32"/>
      <c r="E26" s="29"/>
      <c r="F26" s="26"/>
    </row>
    <row r="27" spans="1:6" customFormat="1" ht="12" customHeight="1">
      <c r="A27" s="39"/>
      <c r="B27" s="40" t="s">
        <v>34</v>
      </c>
      <c r="C27" s="44"/>
      <c r="D27" s="32"/>
      <c r="E27" s="29"/>
      <c r="F27" s="26"/>
    </row>
    <row r="28" spans="1:6" customFormat="1" ht="12" customHeight="1">
      <c r="A28" s="39"/>
      <c r="B28" s="40" t="s">
        <v>35</v>
      </c>
      <c r="C28" s="44"/>
      <c r="D28" s="32"/>
      <c r="E28" s="29"/>
      <c r="F28" s="26"/>
    </row>
    <row r="29" spans="1:6" ht="12" customHeight="1" thickBot="1">
      <c r="A29" s="22"/>
      <c r="B29" s="324"/>
      <c r="C29" s="83"/>
      <c r="D29" s="77"/>
      <c r="E29" s="78"/>
      <c r="F29" s="412"/>
    </row>
    <row r="30" spans="1:6" s="46" customFormat="1" ht="27" customHeight="1" thickTop="1" thickBot="1">
      <c r="A30" s="90"/>
      <c r="B30" s="81"/>
      <c r="C30" s="474" t="s">
        <v>10</v>
      </c>
      <c r="D30" s="475"/>
      <c r="E30" s="476"/>
      <c r="F30" s="51"/>
    </row>
    <row r="31" spans="1:6" ht="12" customHeight="1" thickTop="1" thickBot="1">
      <c r="A31" s="22"/>
      <c r="B31" s="393"/>
      <c r="C31" s="394"/>
      <c r="D31" s="53"/>
      <c r="E31" s="424"/>
      <c r="F31" s="438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>
        <f>A38+0.001</f>
        <v>10.200999999999999</v>
      </c>
      <c r="B39" s="61" t="s">
        <v>39</v>
      </c>
      <c r="C39" s="24"/>
      <c r="D39" s="32"/>
      <c r="E39" s="29"/>
      <c r="F39" s="26"/>
    </row>
    <row r="40" spans="1:7" s="64" customFormat="1" ht="12" customHeight="1">
      <c r="A40" s="39"/>
      <c r="B40" s="63" t="s">
        <v>568</v>
      </c>
      <c r="C40" s="24" t="s">
        <v>41</v>
      </c>
      <c r="D40" s="32">
        <v>102.95</v>
      </c>
      <c r="E40" s="29"/>
      <c r="F40" s="30"/>
      <c r="G40" s="1"/>
    </row>
    <row r="41" spans="1:7" s="64" customFormat="1" ht="12" customHeight="1" thickBot="1">
      <c r="A41" s="39"/>
      <c r="B41" s="66"/>
      <c r="C41" s="83"/>
      <c r="D41" s="77"/>
      <c r="E41" s="84"/>
      <c r="F41" s="79"/>
    </row>
    <row r="42" spans="1:7" s="46" customFormat="1" ht="27" customHeight="1" thickTop="1" thickBot="1">
      <c r="A42" s="90"/>
      <c r="B42" s="81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300"/>
      <c r="D43" s="53"/>
      <c r="E43" s="54"/>
      <c r="F43" s="55"/>
    </row>
    <row r="44" spans="1:7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20"/>
      <c r="F44" s="321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308"/>
      <c r="F45" s="327"/>
    </row>
    <row r="46" spans="1:7" s="64" customFormat="1" ht="12" customHeight="1">
      <c r="A46" s="39"/>
      <c r="B46" s="63" t="s">
        <v>569</v>
      </c>
      <c r="C46" s="312" t="s">
        <v>41</v>
      </c>
      <c r="D46" s="32">
        <f>(47.28*2.45)-((6*0.9*2.1)+(1.5*2.1))</f>
        <v>101.346</v>
      </c>
      <c r="E46" s="29"/>
      <c r="F46" s="26" t="s">
        <v>62</v>
      </c>
      <c r="G46" s="1"/>
    </row>
    <row r="47" spans="1:7" s="64" customFormat="1" ht="12" customHeight="1">
      <c r="A47" s="39"/>
      <c r="B47" s="63" t="s">
        <v>570</v>
      </c>
      <c r="C47" s="312" t="s">
        <v>41</v>
      </c>
      <c r="D47" s="32">
        <f>(47.35*2.45)-((6*0.9*2.1)+(1.5*2.1))</f>
        <v>101.51750000000001</v>
      </c>
      <c r="E47" s="29"/>
      <c r="F47" s="26" t="s">
        <v>62</v>
      </c>
      <c r="G47" s="1"/>
    </row>
    <row r="48" spans="1:7" s="64" customFormat="1" ht="12" customHeight="1">
      <c r="A48" s="39"/>
      <c r="B48" s="63" t="s">
        <v>571</v>
      </c>
      <c r="C48" s="312" t="s">
        <v>41</v>
      </c>
      <c r="D48" s="32">
        <f>(12*2.45)-((1*2.1))</f>
        <v>27.3</v>
      </c>
      <c r="E48" s="29"/>
      <c r="F48" s="30"/>
      <c r="G48" s="1"/>
    </row>
    <row r="49" spans="1:7" s="64" customFormat="1" ht="12" customHeight="1">
      <c r="A49" s="39"/>
      <c r="B49" s="63" t="s">
        <v>572</v>
      </c>
      <c r="C49" s="312" t="s">
        <v>41</v>
      </c>
      <c r="D49" s="32">
        <f>(25.92*2.45)-((2*0.9*2.1)+(1*2.1))</f>
        <v>57.624000000000009</v>
      </c>
      <c r="E49" s="29"/>
      <c r="F49" s="26" t="s">
        <v>62</v>
      </c>
      <c r="G49" s="1"/>
    </row>
    <row r="50" spans="1:7" s="64" customFormat="1" ht="12" customHeight="1">
      <c r="A50" s="39"/>
      <c r="B50" s="63" t="s">
        <v>573</v>
      </c>
      <c r="C50" s="312" t="s">
        <v>41</v>
      </c>
      <c r="D50" s="32">
        <f>(12*2.45)-((1*2.1))</f>
        <v>27.3</v>
      </c>
      <c r="E50" s="29"/>
      <c r="F50" s="30"/>
      <c r="G50" s="1"/>
    </row>
    <row r="51" spans="1:7" s="1" customFormat="1" ht="12" customHeight="1" thickBot="1">
      <c r="A51" s="163"/>
      <c r="B51" s="75" t="s">
        <v>51</v>
      </c>
      <c r="C51" s="376" t="s">
        <v>41</v>
      </c>
      <c r="D51" s="77">
        <f>(4.15*2.45)-((0.9*2.1))</f>
        <v>8.2775000000000016</v>
      </c>
      <c r="E51" s="78"/>
      <c r="F51" s="79"/>
    </row>
    <row r="52" spans="1:7" s="64" customFormat="1" ht="12" customHeight="1" thickTop="1">
      <c r="A52" s="167"/>
      <c r="B52" s="81" t="s">
        <v>419</v>
      </c>
      <c r="C52" s="377" t="s">
        <v>41</v>
      </c>
      <c r="D52" s="11">
        <f>(9.8*2.45)-((1.5*2.1)+(2*0.9*2.1)+(2*1*2.1))</f>
        <v>12.880000000000004</v>
      </c>
      <c r="E52" s="12"/>
      <c r="F52" s="13"/>
      <c r="G52" s="1"/>
    </row>
    <row r="53" spans="1:7" s="64" customFormat="1" ht="12" customHeight="1" thickBot="1">
      <c r="A53" s="39"/>
      <c r="B53" s="66"/>
      <c r="C53" s="83"/>
      <c r="D53" s="77"/>
      <c r="E53" s="84"/>
      <c r="F53" s="79"/>
    </row>
    <row r="54" spans="1:7" s="46" customFormat="1" ht="27" customHeight="1" thickTop="1" thickBot="1">
      <c r="A54" s="90"/>
      <c r="B54" s="81"/>
      <c r="C54" s="474" t="s">
        <v>52</v>
      </c>
      <c r="D54" s="475"/>
      <c r="E54" s="476"/>
      <c r="F54" s="51"/>
    </row>
    <row r="55" spans="1:7" ht="12" customHeight="1" thickTop="1">
      <c r="A55" s="22"/>
      <c r="B55" s="66"/>
      <c r="C55" s="300"/>
      <c r="D55" s="378"/>
      <c r="E55" s="429"/>
      <c r="F55" s="439"/>
    </row>
    <row r="56" spans="1:7" s="89" customFormat="1" ht="20.100000000000001" customHeight="1">
      <c r="A56" s="348">
        <f>A44+0.1</f>
        <v>10.399999999999999</v>
      </c>
      <c r="B56" s="58" t="s">
        <v>53</v>
      </c>
      <c r="C56" s="17"/>
      <c r="D56" s="18"/>
      <c r="E56" s="349"/>
      <c r="F56" s="60"/>
    </row>
    <row r="57" spans="1:7" s="46" customFormat="1" ht="15" customHeight="1">
      <c r="A57" s="22"/>
      <c r="B57" s="61" t="s">
        <v>54</v>
      </c>
      <c r="C57" s="44"/>
      <c r="D57" s="32"/>
      <c r="E57" s="57"/>
      <c r="F57" s="30"/>
    </row>
    <row r="58" spans="1:7" s="64" customFormat="1" ht="12" customHeight="1">
      <c r="A58" s="39"/>
      <c r="B58" s="63" t="s">
        <v>573</v>
      </c>
      <c r="C58" s="24" t="s">
        <v>41</v>
      </c>
      <c r="D58" s="32">
        <v>8.8000000000000007</v>
      </c>
      <c r="E58" s="29"/>
      <c r="F58" s="30"/>
    </row>
    <row r="59" spans="1:7" s="64" customFormat="1" ht="12" customHeight="1">
      <c r="A59" s="39"/>
      <c r="B59" s="63" t="s">
        <v>51</v>
      </c>
      <c r="C59" s="24" t="s">
        <v>41</v>
      </c>
      <c r="D59" s="32">
        <v>0.85</v>
      </c>
      <c r="E59" s="29"/>
      <c r="F59" s="30"/>
    </row>
    <row r="60" spans="1:7" s="64" customFormat="1" ht="12" customHeight="1">
      <c r="A60" s="39"/>
      <c r="B60" s="63" t="s">
        <v>574</v>
      </c>
      <c r="C60" s="24" t="s">
        <v>41</v>
      </c>
      <c r="D60" s="32">
        <v>0.85</v>
      </c>
      <c r="E60" s="29"/>
      <c r="F60" s="30"/>
    </row>
    <row r="61" spans="1:7" s="64" customFormat="1" ht="12" customHeight="1">
      <c r="A61" s="39"/>
      <c r="B61" s="66"/>
      <c r="C61" s="24"/>
      <c r="D61" s="32"/>
      <c r="E61" s="57"/>
      <c r="F61" s="30"/>
    </row>
    <row r="62" spans="1:7" s="46" customFormat="1">
      <c r="A62" s="22"/>
      <c r="B62" s="61" t="s">
        <v>132</v>
      </c>
      <c r="C62" s="24"/>
      <c r="D62" s="32"/>
      <c r="E62" s="29"/>
      <c r="F62" s="26"/>
    </row>
    <row r="63" spans="1:7" s="64" customFormat="1" ht="12" customHeight="1">
      <c r="A63" s="39"/>
      <c r="B63" s="63" t="s">
        <v>575</v>
      </c>
      <c r="C63" s="24" t="s">
        <v>41</v>
      </c>
      <c r="D63" s="32">
        <v>29.9</v>
      </c>
      <c r="E63" s="29"/>
      <c r="F63" s="30"/>
    </row>
    <row r="64" spans="1:7" s="64" customFormat="1" ht="12" customHeight="1">
      <c r="A64" s="39"/>
      <c r="B64" s="63" t="s">
        <v>576</v>
      </c>
      <c r="C64" s="24" t="s">
        <v>41</v>
      </c>
      <c r="D64" s="32">
        <v>29.9</v>
      </c>
      <c r="E64" s="29"/>
      <c r="F64" s="30"/>
    </row>
    <row r="65" spans="1:6" s="64" customFormat="1" ht="12" customHeight="1">
      <c r="A65" s="39"/>
      <c r="B65" s="63" t="s">
        <v>577</v>
      </c>
      <c r="C65" s="24" t="s">
        <v>41</v>
      </c>
      <c r="D65" s="32">
        <v>17.3</v>
      </c>
      <c r="E65" s="29"/>
      <c r="F65" s="30"/>
    </row>
    <row r="66" spans="1:6" s="64" customFormat="1" ht="12" customHeight="1">
      <c r="A66" s="39"/>
      <c r="B66" s="63" t="s">
        <v>437</v>
      </c>
      <c r="C66" s="24" t="s">
        <v>41</v>
      </c>
      <c r="D66" s="32">
        <v>6.55</v>
      </c>
      <c r="E66" s="29"/>
      <c r="F66" s="30"/>
    </row>
    <row r="67" spans="1:6" s="64" customFormat="1" ht="12" customHeight="1">
      <c r="A67" s="39"/>
      <c r="B67" s="63"/>
      <c r="C67" s="24"/>
      <c r="D67" s="32"/>
      <c r="E67" s="29"/>
      <c r="F67" s="30"/>
    </row>
    <row r="68" spans="1:6" s="46" customFormat="1">
      <c r="A68" s="22"/>
      <c r="B68" s="61" t="s">
        <v>58</v>
      </c>
      <c r="C68" s="24"/>
      <c r="D68" s="32"/>
      <c r="E68" s="29"/>
      <c r="F68" s="26"/>
    </row>
    <row r="69" spans="1:6" s="64" customFormat="1" ht="12" customHeight="1">
      <c r="A69" s="39"/>
      <c r="B69" s="63" t="s">
        <v>571</v>
      </c>
      <c r="C69" s="24" t="s">
        <v>41</v>
      </c>
      <c r="D69" s="32">
        <v>8.8000000000000007</v>
      </c>
      <c r="E69" s="29"/>
      <c r="F69" s="30"/>
    </row>
    <row r="70" spans="1:6" s="64" customFormat="1" ht="12" customHeight="1" thickBot="1">
      <c r="A70" s="39" t="s">
        <v>33</v>
      </c>
      <c r="B70" s="66"/>
      <c r="C70" s="24"/>
      <c r="D70" s="32"/>
      <c r="E70" s="57"/>
      <c r="F70" s="30"/>
    </row>
    <row r="71" spans="1:6" s="46" customFormat="1" ht="27" customHeight="1" thickTop="1" thickBot="1">
      <c r="A71" s="90"/>
      <c r="B71" s="81" t="s">
        <v>33</v>
      </c>
      <c r="C71" s="474" t="str">
        <f>+B56</f>
        <v>FAUX PLAFOND</v>
      </c>
      <c r="D71" s="475"/>
      <c r="E71" s="476"/>
      <c r="F71" s="51"/>
    </row>
    <row r="72" spans="1:6" s="46" customFormat="1" ht="12" customHeight="1" thickTop="1" thickBot="1">
      <c r="A72" s="90"/>
      <c r="B72" s="63"/>
      <c r="C72" s="394"/>
      <c r="D72" s="53"/>
      <c r="E72" s="362"/>
      <c r="F72" s="368"/>
    </row>
    <row r="73" spans="1:6" s="46" customFormat="1" ht="30" customHeight="1" thickTop="1" thickBot="1">
      <c r="A73" s="477" t="s">
        <v>63</v>
      </c>
      <c r="B73" s="478"/>
      <c r="C73" s="478"/>
      <c r="D73" s="478"/>
      <c r="E73" s="479"/>
      <c r="F73" s="102"/>
    </row>
    <row r="74" spans="1:6" ht="12" customHeight="1" thickTop="1"/>
    <row r="75" spans="1:6" ht="12" customHeight="1"/>
    <row r="76" spans="1:6" ht="12" customHeight="1">
      <c r="A76" s="107" t="s">
        <v>64</v>
      </c>
      <c r="B76" s="52"/>
    </row>
    <row r="77" spans="1:6" ht="12" customHeight="1"/>
    <row r="78" spans="1:6" ht="12" customHeight="1">
      <c r="D78" s="108"/>
      <c r="E78" s="437"/>
      <c r="F78" s="109"/>
    </row>
    <row r="79" spans="1:6" ht="12" customHeight="1">
      <c r="D79" s="111"/>
      <c r="E79" s="437"/>
      <c r="F79" s="112"/>
    </row>
    <row r="80" spans="1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13">
    <mergeCell ref="E9:F9"/>
    <mergeCell ref="A1:F1"/>
    <mergeCell ref="A2:F2"/>
    <mergeCell ref="A3:F3"/>
    <mergeCell ref="A4:F4"/>
    <mergeCell ref="E8:F8"/>
    <mergeCell ref="A73:E73"/>
    <mergeCell ref="E11:F11"/>
    <mergeCell ref="C30:E30"/>
    <mergeCell ref="B32:B36"/>
    <mergeCell ref="C42:E42"/>
    <mergeCell ref="C54:E54"/>
    <mergeCell ref="C71:E71"/>
  </mergeCells>
  <conditionalFormatting sqref="E10">
    <cfRule type="cellIs" dxfId="20" priority="5" operator="equal">
      <formula>0</formula>
    </cfRule>
  </conditionalFormatting>
  <conditionalFormatting sqref="E40">
    <cfRule type="cellIs" dxfId="19" priority="4" operator="equal">
      <formula>0</formula>
    </cfRule>
  </conditionalFormatting>
  <conditionalFormatting sqref="E46:E52">
    <cfRule type="cellIs" dxfId="18" priority="3" operator="equal">
      <formula>0</formula>
    </cfRule>
  </conditionalFormatting>
  <conditionalFormatting sqref="E58:E60">
    <cfRule type="cellIs" dxfId="17" priority="2" operator="equal">
      <formula>0</formula>
    </cfRule>
  </conditionalFormatting>
  <conditionalFormatting sqref="E63:E66 E69">
    <cfRule type="cellIs" dxfId="1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1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6AF27-F0CB-4169-8500-CAD4CE49C6EB}">
  <sheetPr codeName="Feuil86">
    <pageSetUpPr fitToPage="1"/>
  </sheetPr>
  <dimension ref="A1:G251"/>
  <sheetViews>
    <sheetView topLeftCell="A36" zoomScaleNormal="100" zoomScaleSheetLayoutView="115" workbookViewId="0">
      <selection activeCell="H54" sqref="H54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578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1"/>
      <c r="D13" s="32"/>
      <c r="E13" s="29"/>
      <c r="F13" s="26"/>
    </row>
    <row r="14" spans="1:6" customFormat="1" ht="12" customHeight="1">
      <c r="A14" s="39"/>
      <c r="B14" s="40" t="s">
        <v>508</v>
      </c>
      <c r="C14" s="41"/>
      <c r="D14" s="32"/>
      <c r="E14" s="29"/>
      <c r="F14" s="26"/>
    </row>
    <row r="15" spans="1:6" customFormat="1" ht="12" customHeight="1">
      <c r="A15" s="39"/>
      <c r="B15" s="40" t="s">
        <v>20</v>
      </c>
      <c r="C15" s="41"/>
      <c r="D15" s="32"/>
      <c r="E15" s="29"/>
      <c r="F15" s="26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32"/>
      <c r="E17" s="29"/>
      <c r="F17" s="26"/>
    </row>
    <row r="18" spans="1:6" customFormat="1" ht="12" customHeight="1">
      <c r="A18" s="39"/>
      <c r="B18" s="40" t="s">
        <v>23</v>
      </c>
      <c r="C18" s="41"/>
      <c r="D18" s="32"/>
      <c r="E18" s="29"/>
      <c r="F18" s="26"/>
    </row>
    <row r="19" spans="1:6" customFormat="1" ht="12" customHeight="1">
      <c r="A19" s="39"/>
      <c r="B19" s="40" t="s">
        <v>24</v>
      </c>
      <c r="C19" s="41"/>
      <c r="D19" s="32"/>
      <c r="E19" s="29"/>
      <c r="F19" s="26"/>
    </row>
    <row r="20" spans="1:6" customFormat="1" ht="12" customHeight="1">
      <c r="A20" s="39"/>
      <c r="B20" s="40" t="s">
        <v>509</v>
      </c>
      <c r="C20" s="41"/>
      <c r="D20" s="32"/>
      <c r="E20" s="29"/>
      <c r="F20" s="26"/>
    </row>
    <row r="21" spans="1:6" customFormat="1" ht="12" customHeight="1">
      <c r="A21" s="39"/>
      <c r="B21" s="40" t="s">
        <v>26</v>
      </c>
      <c r="C21" s="41"/>
      <c r="D21" s="32"/>
      <c r="E21" s="29"/>
      <c r="F21" s="26"/>
    </row>
    <row r="22" spans="1:6" customFormat="1" ht="12" customHeight="1">
      <c r="A22" s="39"/>
      <c r="B22" s="40" t="s">
        <v>27</v>
      </c>
      <c r="C22" s="41"/>
      <c r="D22" s="32"/>
      <c r="E22" s="29"/>
      <c r="F22" s="26"/>
    </row>
    <row r="23" spans="1:6" customFormat="1" ht="12" customHeight="1">
      <c r="A23" s="39"/>
      <c r="B23" s="40" t="s">
        <v>510</v>
      </c>
      <c r="C23" s="41"/>
      <c r="D23" s="32"/>
      <c r="E23" s="29"/>
      <c r="F23" s="26"/>
    </row>
    <row r="24" spans="1:6" customFormat="1" ht="12" customHeight="1">
      <c r="A24" s="39"/>
      <c r="B24" s="40" t="s">
        <v>29</v>
      </c>
      <c r="C24" s="41"/>
      <c r="D24" s="32"/>
      <c r="E24" s="29"/>
      <c r="F24" s="26"/>
    </row>
    <row r="25" spans="1:6" customFormat="1" ht="12" customHeight="1">
      <c r="A25" s="39"/>
      <c r="B25" s="40" t="s">
        <v>31</v>
      </c>
      <c r="C25" s="41"/>
      <c r="D25" s="32"/>
      <c r="E25" s="29"/>
      <c r="F25" s="26"/>
    </row>
    <row r="26" spans="1:6" customFormat="1" ht="12" customHeight="1">
      <c r="A26" s="39"/>
      <c r="B26" s="40" t="s">
        <v>32</v>
      </c>
      <c r="C26" s="41"/>
      <c r="D26" s="32"/>
      <c r="E26" s="29"/>
      <c r="F26" s="26"/>
    </row>
    <row r="27" spans="1:6" customFormat="1" ht="12" customHeight="1">
      <c r="A27" s="39"/>
      <c r="B27" s="40" t="s">
        <v>34</v>
      </c>
      <c r="C27" s="41"/>
      <c r="D27" s="32"/>
      <c r="E27" s="29"/>
      <c r="F27" s="26"/>
    </row>
    <row r="28" spans="1:6" customFormat="1" ht="12" customHeight="1">
      <c r="A28" s="39"/>
      <c r="B28" s="40" t="s">
        <v>35</v>
      </c>
      <c r="C28" s="41"/>
      <c r="D28" s="32"/>
      <c r="E28" s="29"/>
      <c r="F28" s="26"/>
    </row>
    <row r="29" spans="1:6" ht="12" customHeight="1" thickBot="1">
      <c r="A29" s="22"/>
      <c r="B29" s="324"/>
      <c r="C29" s="310"/>
      <c r="D29" s="77"/>
      <c r="E29" s="78"/>
      <c r="F29" s="412"/>
    </row>
    <row r="30" spans="1:6" s="46" customFormat="1" ht="27" customHeight="1" thickTop="1" thickBot="1">
      <c r="A30" s="90"/>
      <c r="B30" s="81"/>
      <c r="C30" s="474" t="str">
        <f>B7</f>
        <v>TRAVAUX PRELIMINAIRES</v>
      </c>
      <c r="D30" s="475"/>
      <c r="E30" s="476"/>
      <c r="F30" s="51"/>
    </row>
    <row r="31" spans="1:6" ht="12" customHeight="1" thickTop="1" thickBot="1">
      <c r="A31" s="22"/>
      <c r="B31" s="393"/>
      <c r="C31" s="423"/>
      <c r="D31" s="53"/>
      <c r="E31" s="424"/>
      <c r="F31" s="425"/>
    </row>
    <row r="32" spans="1:6" ht="12" customHeight="1" thickTop="1">
      <c r="A32" s="419"/>
      <c r="B32" s="483" t="s">
        <v>37</v>
      </c>
      <c r="C32" s="380"/>
      <c r="D32" s="426"/>
      <c r="E32" s="427"/>
      <c r="F32" s="428"/>
    </row>
    <row r="33" spans="1:7" ht="12" customHeight="1">
      <c r="A33" s="419"/>
      <c r="B33" s="484"/>
      <c r="C33" s="380"/>
      <c r="D33" s="426"/>
      <c r="E33" s="427"/>
      <c r="F33" s="428"/>
    </row>
    <row r="34" spans="1:7" ht="12" customHeight="1">
      <c r="A34" s="419"/>
      <c r="B34" s="484"/>
      <c r="C34" s="380"/>
      <c r="D34" s="426" t="s">
        <v>33</v>
      </c>
      <c r="E34" s="427"/>
      <c r="F34" s="428"/>
    </row>
    <row r="35" spans="1:7" ht="12" customHeight="1">
      <c r="A35" s="419"/>
      <c r="B35" s="484"/>
      <c r="C35" s="380"/>
      <c r="D35" s="426"/>
      <c r="E35" s="427"/>
      <c r="F35" s="428"/>
    </row>
    <row r="36" spans="1:7" ht="12" customHeight="1" thickBot="1">
      <c r="A36" s="419"/>
      <c r="B36" s="485"/>
      <c r="C36" s="380"/>
      <c r="D36" s="426"/>
      <c r="E36" s="427"/>
      <c r="F36" s="428"/>
    </row>
    <row r="37" spans="1:7" ht="12" customHeight="1" thickTop="1">
      <c r="A37" s="22"/>
      <c r="B37" s="68"/>
      <c r="C37" s="24"/>
      <c r="D37" s="32"/>
      <c r="E37" s="29"/>
      <c r="F37" s="26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21"/>
    </row>
    <row r="39" spans="1:7" ht="15" customHeight="1">
      <c r="A39" s="22">
        <f>A38+0.001</f>
        <v>10.200999999999999</v>
      </c>
      <c r="B39" s="61" t="s">
        <v>39</v>
      </c>
      <c r="C39" s="24"/>
      <c r="D39" s="313"/>
      <c r="E39" s="57"/>
      <c r="F39" s="30"/>
    </row>
    <row r="40" spans="1:7" s="64" customFormat="1" ht="12" customHeight="1">
      <c r="A40" s="39"/>
      <c r="B40" s="63" t="s">
        <v>579</v>
      </c>
      <c r="C40" s="24" t="s">
        <v>41</v>
      </c>
      <c r="D40" s="32">
        <v>124.85</v>
      </c>
      <c r="E40" s="29"/>
      <c r="F40" s="30"/>
      <c r="G40" s="1"/>
    </row>
    <row r="41" spans="1:7" s="64" customFormat="1" ht="12" customHeight="1" thickBot="1">
      <c r="A41" s="39"/>
      <c r="B41" s="66"/>
      <c r="C41" s="24"/>
      <c r="D41" s="77"/>
      <c r="E41" s="84"/>
      <c r="F41" s="30"/>
    </row>
    <row r="42" spans="1:7" s="46" customFormat="1" ht="27" customHeight="1" thickTop="1" thickBot="1">
      <c r="A42" s="90"/>
      <c r="B42" s="81"/>
      <c r="C42" s="474" t="str">
        <f>+B38</f>
        <v>DEMOLITION - DEPOSE</v>
      </c>
      <c r="D42" s="475"/>
      <c r="E42" s="476"/>
      <c r="F42" s="51"/>
    </row>
    <row r="43" spans="1:7" ht="12" customHeight="1" thickTop="1">
      <c r="A43" s="22"/>
      <c r="B43" s="68"/>
      <c r="C43" s="24"/>
      <c r="D43" s="53"/>
      <c r="E43" s="54"/>
      <c r="F43" s="26"/>
    </row>
    <row r="44" spans="1:7" s="89" customFormat="1" ht="20.100000000000001" customHeight="1">
      <c r="A44" s="348">
        <v>14.4</v>
      </c>
      <c r="B44" s="433" t="s">
        <v>53</v>
      </c>
      <c r="C44" s="434"/>
      <c r="D44" s="435"/>
      <c r="E44" s="414"/>
      <c r="F44" s="436"/>
    </row>
    <row r="45" spans="1:7" s="46" customFormat="1">
      <c r="A45" s="22"/>
      <c r="B45" s="61" t="s">
        <v>132</v>
      </c>
      <c r="C45" s="24"/>
      <c r="D45" s="32"/>
      <c r="E45" s="29"/>
      <c r="F45" s="26"/>
    </row>
    <row r="46" spans="1:7" s="64" customFormat="1" ht="12" customHeight="1">
      <c r="A46" s="39"/>
      <c r="B46" s="63" t="s">
        <v>580</v>
      </c>
      <c r="C46" s="24" t="s">
        <v>41</v>
      </c>
      <c r="D46" s="32">
        <v>36.85</v>
      </c>
      <c r="E46" s="29"/>
      <c r="F46" s="30"/>
    </row>
    <row r="47" spans="1:7" s="64" customFormat="1" ht="12" customHeight="1">
      <c r="A47" s="39"/>
      <c r="B47" s="63" t="s">
        <v>581</v>
      </c>
      <c r="C47" s="24" t="s">
        <v>41</v>
      </c>
      <c r="D47" s="32">
        <v>43.85</v>
      </c>
      <c r="E47" s="29"/>
      <c r="F47" s="30"/>
    </row>
    <row r="48" spans="1:7" s="64" customFormat="1" ht="12" customHeight="1" thickBot="1">
      <c r="A48" s="39"/>
      <c r="B48" s="66"/>
      <c r="C48" s="24"/>
      <c r="D48" s="32"/>
      <c r="E48" s="57"/>
      <c r="F48" s="30"/>
    </row>
    <row r="49" spans="1:6" s="46" customFormat="1" ht="27" customHeight="1" thickTop="1" thickBot="1">
      <c r="A49" s="90"/>
      <c r="B49" s="81" t="s">
        <v>33</v>
      </c>
      <c r="C49" s="474" t="str">
        <f>+B44</f>
        <v>FAUX PLAFOND</v>
      </c>
      <c r="D49" s="475"/>
      <c r="E49" s="476"/>
      <c r="F49" s="51"/>
    </row>
    <row r="50" spans="1:6" s="46" customFormat="1" ht="12" customHeight="1" thickTop="1" thickBot="1">
      <c r="A50" s="90"/>
      <c r="B50" s="63"/>
      <c r="C50" s="69"/>
      <c r="D50" s="53"/>
      <c r="E50" s="362"/>
      <c r="F50" s="30"/>
    </row>
    <row r="51" spans="1:6" s="46" customFormat="1" ht="30" customHeight="1" thickTop="1" thickBot="1">
      <c r="A51" s="477" t="s">
        <v>63</v>
      </c>
      <c r="B51" s="478"/>
      <c r="C51" s="478"/>
      <c r="D51" s="478"/>
      <c r="E51" s="479"/>
      <c r="F51" s="102"/>
    </row>
    <row r="52" spans="1:6" ht="12" customHeight="1" thickTop="1"/>
    <row r="53" spans="1:6" ht="12" customHeight="1"/>
    <row r="54" spans="1:6" ht="12" customHeight="1">
      <c r="A54" s="107" t="s">
        <v>64</v>
      </c>
      <c r="B54" s="52"/>
    </row>
    <row r="55" spans="1:6" ht="12" customHeight="1"/>
    <row r="56" spans="1:6" ht="12" customHeight="1">
      <c r="D56" s="108"/>
      <c r="E56" s="437"/>
      <c r="F56" s="109"/>
    </row>
    <row r="57" spans="1:6" ht="12" customHeight="1">
      <c r="D57" s="111"/>
      <c r="E57" s="437"/>
      <c r="F57" s="112"/>
    </row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</sheetData>
  <mergeCells count="12">
    <mergeCell ref="A51:E51"/>
    <mergeCell ref="A1:F1"/>
    <mergeCell ref="A2:F2"/>
    <mergeCell ref="A3:F3"/>
    <mergeCell ref="A4:F4"/>
    <mergeCell ref="E8:F8"/>
    <mergeCell ref="E9:F9"/>
    <mergeCell ref="E11:F11"/>
    <mergeCell ref="C30:E30"/>
    <mergeCell ref="B32:B36"/>
    <mergeCell ref="C42:E42"/>
    <mergeCell ref="C49:E49"/>
  </mergeCells>
  <conditionalFormatting sqref="E10">
    <cfRule type="cellIs" dxfId="15" priority="3" operator="equal">
      <formula>0</formula>
    </cfRule>
  </conditionalFormatting>
  <conditionalFormatting sqref="E40">
    <cfRule type="cellIs" dxfId="14" priority="2" operator="equal">
      <formula>0</formula>
    </cfRule>
  </conditionalFormatting>
  <conditionalFormatting sqref="E46:E47">
    <cfRule type="cellIs" dxfId="13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3DD29-8F0D-48E8-8E90-0153E1B9C097}">
  <sheetPr codeName="Feuil69">
    <pageSetUpPr fitToPage="1"/>
  </sheetPr>
  <dimension ref="A1:J211"/>
  <sheetViews>
    <sheetView topLeftCell="A157" zoomScale="85" zoomScaleNormal="85" zoomScaleSheetLayoutView="85" workbookViewId="0">
      <selection activeCell="L178" sqref="L178"/>
    </sheetView>
  </sheetViews>
  <sheetFormatPr baseColWidth="10" defaultColWidth="11.42578125" defaultRowHeight="12"/>
  <cols>
    <col min="1" max="1" width="7.7109375" style="197" customWidth="1"/>
    <col min="2" max="2" width="46.7109375" style="198" customWidth="1"/>
    <col min="3" max="3" width="4.7109375" style="199" customWidth="1"/>
    <col min="4" max="4" width="11.7109375" style="200" customWidth="1"/>
    <col min="5" max="5" width="12.7109375" style="201" customWidth="1"/>
    <col min="6" max="6" width="17.7109375" style="202" customWidth="1"/>
    <col min="7" max="16384" width="11.42578125" style="14"/>
  </cols>
  <sheetData>
    <row r="1" spans="1:6" customFormat="1" ht="33.950000000000003" customHeight="1" thickTop="1" thickBot="1">
      <c r="A1" s="510" t="s">
        <v>65</v>
      </c>
      <c r="B1" s="511"/>
      <c r="C1" s="512"/>
      <c r="D1" s="512"/>
      <c r="E1" s="512"/>
      <c r="F1" s="513"/>
    </row>
    <row r="2" spans="1:6" customFormat="1" ht="33.950000000000003" customHeight="1" thickTop="1" thickBot="1">
      <c r="A2" s="510" t="s">
        <v>1</v>
      </c>
      <c r="B2" s="511"/>
      <c r="C2" s="512"/>
      <c r="D2" s="512"/>
      <c r="E2" s="512"/>
      <c r="F2" s="513"/>
    </row>
    <row r="3" spans="1:6" customFormat="1" ht="33.950000000000003" customHeight="1" thickTop="1" thickBot="1">
      <c r="A3" s="510" t="s">
        <v>66</v>
      </c>
      <c r="B3" s="511"/>
      <c r="C3" s="512"/>
      <c r="D3" s="512"/>
      <c r="E3" s="512"/>
      <c r="F3" s="513"/>
    </row>
    <row r="4" spans="1:6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6" customFormat="1" ht="24.95" customHeight="1" thickTop="1" thickBot="1">
      <c r="A5" s="114" t="s">
        <v>4</v>
      </c>
      <c r="B5" s="115" t="s">
        <v>5</v>
      </c>
      <c r="C5" s="115" t="s">
        <v>6</v>
      </c>
      <c r="D5" s="116" t="s">
        <v>7</v>
      </c>
      <c r="E5" s="117" t="s">
        <v>8</v>
      </c>
      <c r="F5" s="118" t="s">
        <v>9</v>
      </c>
    </row>
    <row r="6" spans="1:6" ht="12.75" thickTop="1">
      <c r="A6" s="119"/>
      <c r="B6" s="120"/>
      <c r="C6" s="121"/>
      <c r="D6" s="122"/>
      <c r="E6" s="123"/>
      <c r="F6" s="124"/>
    </row>
    <row r="7" spans="1:6" s="21" customFormat="1" ht="20.100000000000001" customHeight="1">
      <c r="A7" s="125">
        <v>10.1</v>
      </c>
      <c r="B7" s="126" t="s">
        <v>10</v>
      </c>
      <c r="C7" s="127"/>
      <c r="D7" s="128"/>
      <c r="E7" s="129"/>
      <c r="F7" s="130"/>
    </row>
    <row r="8" spans="1:6" customFormat="1" ht="12" customHeight="1">
      <c r="A8" s="131">
        <f>+A7+0.001</f>
        <v>10.100999999999999</v>
      </c>
      <c r="B8" s="132" t="s">
        <v>11</v>
      </c>
      <c r="C8" s="133" t="s">
        <v>12</v>
      </c>
      <c r="D8" s="134">
        <v>1</v>
      </c>
      <c r="E8" s="514" t="s">
        <v>15</v>
      </c>
      <c r="F8" s="515"/>
    </row>
    <row r="9" spans="1:6" customFormat="1" ht="24">
      <c r="A9" s="131">
        <f>+A8+0.001</f>
        <v>10.101999999999999</v>
      </c>
      <c r="B9" s="132" t="s">
        <v>14</v>
      </c>
      <c r="C9" s="133" t="s">
        <v>12</v>
      </c>
      <c r="D9" s="134">
        <v>1</v>
      </c>
      <c r="E9" s="514" t="s">
        <v>67</v>
      </c>
      <c r="F9" s="515"/>
    </row>
    <row r="10" spans="1:6" customFormat="1" ht="12" customHeight="1">
      <c r="A10" s="131">
        <f>+A9+0.001</f>
        <v>10.102999999999998</v>
      </c>
      <c r="B10" s="132" t="s">
        <v>68</v>
      </c>
      <c r="C10" s="133" t="s">
        <v>12</v>
      </c>
      <c r="D10" s="136">
        <v>1</v>
      </c>
      <c r="E10" s="29"/>
      <c r="F10" s="137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customFormat="1" ht="12" customHeight="1">
      <c r="A12" s="131"/>
      <c r="B12" s="138"/>
      <c r="C12" s="133"/>
      <c r="D12" s="134"/>
      <c r="E12" s="139"/>
      <c r="F12" s="137"/>
    </row>
    <row r="13" spans="1:6" customFormat="1" ht="12" customHeight="1">
      <c r="A13" s="140"/>
      <c r="B13" s="141" t="s">
        <v>18</v>
      </c>
      <c r="C13" s="142"/>
      <c r="D13" s="143"/>
      <c r="E13" s="144"/>
      <c r="F13" s="145"/>
    </row>
    <row r="14" spans="1:6" customFormat="1" ht="12" customHeight="1">
      <c r="A14" s="140"/>
      <c r="B14" s="141" t="s">
        <v>19</v>
      </c>
      <c r="C14" s="142"/>
      <c r="D14" s="143"/>
      <c r="E14" s="144"/>
      <c r="F14" s="145"/>
    </row>
    <row r="15" spans="1:6" customFormat="1" ht="12" customHeight="1">
      <c r="A15" s="140"/>
      <c r="B15" s="141" t="s">
        <v>20</v>
      </c>
      <c r="C15" s="142"/>
      <c r="D15" s="143"/>
      <c r="E15" s="144"/>
      <c r="F15" s="145"/>
    </row>
    <row r="16" spans="1:6" customFormat="1" ht="12" customHeight="1">
      <c r="A16" s="140"/>
      <c r="B16" s="141" t="s">
        <v>21</v>
      </c>
      <c r="C16" s="146"/>
      <c r="D16" s="134"/>
      <c r="E16" s="147"/>
      <c r="F16" s="135"/>
    </row>
    <row r="17" spans="1:6" customFormat="1" ht="12" customHeight="1">
      <c r="A17" s="140"/>
      <c r="B17" s="141" t="s">
        <v>22</v>
      </c>
      <c r="C17" s="142"/>
      <c r="D17" s="143"/>
      <c r="E17" s="144"/>
      <c r="F17" s="145"/>
    </row>
    <row r="18" spans="1:6" customFormat="1" ht="12" customHeight="1">
      <c r="A18" s="140"/>
      <c r="B18" s="141" t="s">
        <v>23</v>
      </c>
      <c r="C18" s="142"/>
      <c r="D18" s="143"/>
      <c r="E18" s="144" t="s">
        <v>33</v>
      </c>
      <c r="F18" s="145"/>
    </row>
    <row r="19" spans="1:6" customFormat="1" ht="12" customHeight="1">
      <c r="A19" s="140"/>
      <c r="B19" s="141" t="s">
        <v>24</v>
      </c>
      <c r="C19" s="142"/>
      <c r="D19" s="143"/>
      <c r="E19" s="144"/>
      <c r="F19" s="145"/>
    </row>
    <row r="20" spans="1:6" customFormat="1" ht="12" customHeight="1">
      <c r="A20" s="140"/>
      <c r="B20" s="141" t="s">
        <v>25</v>
      </c>
      <c r="C20" s="142"/>
      <c r="D20" s="143"/>
      <c r="E20" s="144"/>
      <c r="F20" s="145"/>
    </row>
    <row r="21" spans="1:6" customFormat="1" ht="12" customHeight="1">
      <c r="A21" s="140"/>
      <c r="B21" s="141" t="s">
        <v>26</v>
      </c>
      <c r="C21" s="142"/>
      <c r="D21" s="143"/>
      <c r="E21" s="144"/>
      <c r="F21" s="145"/>
    </row>
    <row r="22" spans="1:6" customFormat="1" ht="12" customHeight="1">
      <c r="A22" s="140"/>
      <c r="B22" s="141" t="s">
        <v>27</v>
      </c>
      <c r="C22" s="142"/>
      <c r="D22" s="143"/>
      <c r="E22" s="144"/>
      <c r="F22" s="145"/>
    </row>
    <row r="23" spans="1:6" customFormat="1" ht="12" customHeight="1">
      <c r="A23" s="140"/>
      <c r="B23" s="141" t="s">
        <v>28</v>
      </c>
      <c r="C23" s="142"/>
      <c r="D23" s="143"/>
      <c r="E23" s="144"/>
      <c r="F23" s="145"/>
    </row>
    <row r="24" spans="1:6" customFormat="1" ht="12" customHeight="1">
      <c r="A24" s="140"/>
      <c r="B24" s="141" t="s">
        <v>29</v>
      </c>
      <c r="C24" s="142"/>
      <c r="D24" s="143"/>
      <c r="E24" s="144"/>
      <c r="F24" s="145"/>
    </row>
    <row r="25" spans="1:6" customFormat="1" ht="12" customHeight="1">
      <c r="A25" s="140"/>
      <c r="B25" s="141" t="s">
        <v>30</v>
      </c>
      <c r="C25" s="142"/>
      <c r="D25" s="143"/>
      <c r="E25" s="144"/>
      <c r="F25" s="145"/>
    </row>
    <row r="26" spans="1:6" customFormat="1" ht="12" customHeight="1">
      <c r="A26" s="140"/>
      <c r="B26" s="141" t="s">
        <v>31</v>
      </c>
      <c r="C26" s="142"/>
      <c r="D26" s="143"/>
      <c r="E26" s="144"/>
      <c r="F26" s="145"/>
    </row>
    <row r="27" spans="1:6" customFormat="1" ht="12" customHeight="1">
      <c r="A27" s="140"/>
      <c r="B27" s="141" t="s">
        <v>32</v>
      </c>
      <c r="C27" s="142"/>
      <c r="D27" s="143"/>
      <c r="E27" s="144"/>
      <c r="F27" s="145"/>
    </row>
    <row r="28" spans="1:6" customFormat="1" ht="12" customHeight="1">
      <c r="A28" s="140"/>
      <c r="B28" s="141" t="s">
        <v>34</v>
      </c>
      <c r="C28" s="142"/>
      <c r="D28" s="143"/>
      <c r="E28" s="144"/>
      <c r="F28" s="145"/>
    </row>
    <row r="29" spans="1:6" customFormat="1" ht="12" customHeight="1">
      <c r="A29" s="140"/>
      <c r="B29" s="141" t="s">
        <v>35</v>
      </c>
      <c r="C29" s="142"/>
      <c r="D29" s="143"/>
      <c r="E29" s="144"/>
      <c r="F29" s="145"/>
    </row>
    <row r="30" spans="1:6" customFormat="1" ht="12" customHeight="1">
      <c r="A30" s="140"/>
      <c r="B30" s="141" t="s">
        <v>36</v>
      </c>
      <c r="C30" s="142"/>
      <c r="D30" s="143"/>
      <c r="E30" s="144"/>
      <c r="F30" s="145"/>
    </row>
    <row r="31" spans="1:6" customFormat="1" ht="15.75" thickBot="1">
      <c r="A31" s="131"/>
      <c r="B31" s="148"/>
      <c r="C31" s="146"/>
      <c r="D31" s="149"/>
      <c r="E31" s="150"/>
      <c r="F31" s="135"/>
    </row>
    <row r="32" spans="1:6" ht="27" customHeight="1" thickTop="1" thickBot="1">
      <c r="A32" s="131"/>
      <c r="B32" s="151"/>
      <c r="C32" s="501" t="str">
        <f>B7</f>
        <v>TRAVAUX PRELIMINAIRES</v>
      </c>
      <c r="D32" s="502"/>
      <c r="E32" s="503"/>
      <c r="F32" s="152"/>
    </row>
    <row r="33" spans="1:6" s="1" customFormat="1" ht="16.5" thickTop="1" thickBot="1">
      <c r="A33" s="140"/>
      <c r="B33" s="153"/>
      <c r="C33" s="146"/>
      <c r="D33" s="122"/>
      <c r="E33" s="123"/>
      <c r="F33" s="124"/>
    </row>
    <row r="34" spans="1:6" s="1" customFormat="1" ht="15.75" customHeight="1" thickTop="1">
      <c r="A34" s="140"/>
      <c r="B34" s="504" t="s">
        <v>37</v>
      </c>
      <c r="C34" s="146"/>
      <c r="D34" s="134"/>
      <c r="E34" s="147"/>
      <c r="F34" s="135"/>
    </row>
    <row r="35" spans="1:6" s="1" customFormat="1" ht="15">
      <c r="A35" s="140"/>
      <c r="B35" s="505"/>
      <c r="C35" s="146"/>
      <c r="D35" s="134"/>
      <c r="E35" s="147"/>
      <c r="F35" s="135"/>
    </row>
    <row r="36" spans="1:6" s="1" customFormat="1" ht="15">
      <c r="A36" s="140"/>
      <c r="B36" s="505"/>
      <c r="C36" s="146"/>
      <c r="D36" s="134"/>
      <c r="E36" s="147"/>
      <c r="F36" s="135"/>
    </row>
    <row r="37" spans="1:6" s="1" customFormat="1" ht="15" customHeight="1">
      <c r="A37" s="140" t="s">
        <v>33</v>
      </c>
      <c r="B37" s="505"/>
      <c r="C37" s="146"/>
      <c r="D37" s="134"/>
      <c r="E37" s="147"/>
      <c r="F37" s="135"/>
    </row>
    <row r="38" spans="1:6" s="1" customFormat="1" ht="15.75" thickBot="1">
      <c r="A38" s="140"/>
      <c r="B38" s="506"/>
      <c r="C38" s="146"/>
      <c r="D38" s="134"/>
      <c r="E38" s="147"/>
      <c r="F38" s="135"/>
    </row>
    <row r="39" spans="1:6" s="1" customFormat="1" ht="15.75" thickTop="1">
      <c r="A39" s="140"/>
      <c r="B39" s="138"/>
      <c r="C39" s="146"/>
      <c r="D39" s="134"/>
      <c r="E39" s="139"/>
      <c r="F39" s="137"/>
    </row>
    <row r="40" spans="1:6" s="21" customFormat="1" ht="20.100000000000001" customHeight="1">
      <c r="A40" s="125">
        <f>A7+0.1</f>
        <v>10.199999999999999</v>
      </c>
      <c r="B40" s="126" t="s">
        <v>38</v>
      </c>
      <c r="C40" s="127"/>
      <c r="D40" s="128"/>
      <c r="E40" s="129"/>
      <c r="F40" s="130"/>
    </row>
    <row r="41" spans="1:6" ht="15" customHeight="1">
      <c r="A41" s="131">
        <f>A40+0.001</f>
        <v>10.200999999999999</v>
      </c>
      <c r="B41" s="154" t="s">
        <v>39</v>
      </c>
      <c r="C41" s="133"/>
      <c r="D41" s="134"/>
      <c r="E41" s="147"/>
      <c r="F41" s="135"/>
    </row>
    <row r="42" spans="1:6" s="155" customFormat="1" ht="15">
      <c r="A42" s="140"/>
      <c r="B42" s="138" t="s">
        <v>69</v>
      </c>
      <c r="C42" s="133" t="s">
        <v>41</v>
      </c>
      <c r="D42" s="134">
        <v>612</v>
      </c>
      <c r="E42" s="29"/>
      <c r="F42" s="137"/>
    </row>
    <row r="43" spans="1:6" s="155" customFormat="1" ht="15">
      <c r="A43" s="140"/>
      <c r="B43" s="138" t="s">
        <v>70</v>
      </c>
      <c r="C43" s="133" t="s">
        <v>41</v>
      </c>
      <c r="D43" s="134">
        <v>255.54999999999998</v>
      </c>
      <c r="E43" s="29"/>
      <c r="F43" s="137"/>
    </row>
    <row r="44" spans="1:6" s="155" customFormat="1" ht="15.75" thickBot="1">
      <c r="A44" s="140"/>
      <c r="B44" s="148"/>
      <c r="C44" s="133"/>
      <c r="D44" s="143"/>
      <c r="E44" s="156"/>
      <c r="F44" s="137"/>
    </row>
    <row r="45" spans="1:6" ht="27" customHeight="1" thickTop="1" thickBot="1">
      <c r="A45" s="131"/>
      <c r="B45" s="157"/>
      <c r="C45" s="501" t="str">
        <f>+B40</f>
        <v>DEMOLITION - DEPOSE</v>
      </c>
      <c r="D45" s="502"/>
      <c r="E45" s="503"/>
      <c r="F45" s="152"/>
    </row>
    <row r="46" spans="1:6" ht="12.75" thickTop="1">
      <c r="A46" s="131"/>
      <c r="B46" s="158"/>
      <c r="C46" s="133"/>
      <c r="D46" s="134"/>
      <c r="E46" s="147"/>
      <c r="F46" s="135"/>
    </row>
    <row r="47" spans="1:6" s="21" customFormat="1" ht="20.100000000000001" customHeight="1">
      <c r="A47" s="125">
        <f>A40+0.1</f>
        <v>10.299999999999999</v>
      </c>
      <c r="B47" s="126" t="s">
        <v>42</v>
      </c>
      <c r="C47" s="127"/>
      <c r="D47" s="128"/>
      <c r="E47" s="129"/>
      <c r="F47" s="130"/>
    </row>
    <row r="48" spans="1:6" ht="15" customHeight="1">
      <c r="A48" s="131">
        <f>A47+0.001</f>
        <v>10.300999999999998</v>
      </c>
      <c r="B48" s="154" t="s">
        <v>43</v>
      </c>
      <c r="C48" s="159"/>
      <c r="D48" s="134"/>
      <c r="E48" s="160"/>
      <c r="F48" s="161"/>
    </row>
    <row r="49" spans="1:6" s="64" customFormat="1" ht="12" customHeight="1">
      <c r="A49" s="140"/>
      <c r="B49" s="138" t="s">
        <v>69</v>
      </c>
      <c r="C49" s="162"/>
      <c r="D49" s="134"/>
      <c r="E49" s="139"/>
      <c r="F49" s="137"/>
    </row>
    <row r="50" spans="1:6" s="64" customFormat="1" ht="12" customHeight="1">
      <c r="A50" s="39"/>
      <c r="B50" s="148" t="s">
        <v>71</v>
      </c>
      <c r="C50" s="162" t="s">
        <v>41</v>
      </c>
      <c r="D50" s="134">
        <f>(28.14*2.7)-((3*0.9*2.1)+(3*1.5*1.7))</f>
        <v>62.658000000000008</v>
      </c>
      <c r="E50" s="29"/>
      <c r="F50" s="135" t="s">
        <v>72</v>
      </c>
    </row>
    <row r="51" spans="1:6" s="64" customFormat="1" ht="12" customHeight="1">
      <c r="A51" s="39"/>
      <c r="B51" s="148" t="s">
        <v>73</v>
      </c>
      <c r="C51" s="162" t="s">
        <v>41</v>
      </c>
      <c r="D51" s="134">
        <f>(28*2.7)-((2*0.9*2.1)+(3*1.5*1.7))</f>
        <v>64.170000000000016</v>
      </c>
      <c r="E51" s="29"/>
      <c r="F51" s="135" t="s">
        <v>72</v>
      </c>
    </row>
    <row r="52" spans="1:6" s="64" customFormat="1" ht="12" customHeight="1" thickBot="1">
      <c r="A52" s="163"/>
      <c r="B52" s="164" t="s">
        <v>74</v>
      </c>
      <c r="C52" s="165" t="s">
        <v>41</v>
      </c>
      <c r="D52" s="149">
        <f>(26.78*2.7)-((1.5*2.7)+(0.9*2.1)+(3*1.5*1.7))</f>
        <v>58.716000000000008</v>
      </c>
      <c r="E52" s="78"/>
      <c r="F52" s="166" t="s">
        <v>72</v>
      </c>
    </row>
    <row r="53" spans="1:6" s="64" customFormat="1" ht="12" customHeight="1" thickTop="1">
      <c r="A53" s="167"/>
      <c r="B53" s="168" t="s">
        <v>75</v>
      </c>
      <c r="C53" s="169" t="s">
        <v>41</v>
      </c>
      <c r="D53" s="170">
        <f>(28.15*2.7)-((2*0.9*2.1)+(3*1.5*1.7))</f>
        <v>64.574999999999989</v>
      </c>
      <c r="E53" s="12"/>
      <c r="F53" s="171" t="s">
        <v>72</v>
      </c>
    </row>
    <row r="54" spans="1:6" s="64" customFormat="1" ht="12" customHeight="1">
      <c r="A54" s="39"/>
      <c r="B54" s="148" t="s">
        <v>76</v>
      </c>
      <c r="C54" s="162" t="s">
        <v>41</v>
      </c>
      <c r="D54" s="134">
        <f>(28.16*2.7)-((3*0.9*2.1)+(3*1.5*1.7))</f>
        <v>62.71200000000001</v>
      </c>
      <c r="E54" s="29"/>
      <c r="F54" s="135" t="s">
        <v>72</v>
      </c>
    </row>
    <row r="55" spans="1:6" s="64" customFormat="1" ht="12" customHeight="1">
      <c r="A55" s="39"/>
      <c r="B55" s="148" t="s">
        <v>77</v>
      </c>
      <c r="C55" s="162" t="s">
        <v>41</v>
      </c>
      <c r="D55" s="134">
        <f>(27.9*2.7)-((2*0.9*2.1)+(3*1.5*1.7))</f>
        <v>63.9</v>
      </c>
      <c r="E55" s="29"/>
      <c r="F55" s="135" t="s">
        <v>72</v>
      </c>
    </row>
    <row r="56" spans="1:6" s="64" customFormat="1" ht="12" customHeight="1">
      <c r="A56" s="39"/>
      <c r="B56" s="148" t="s">
        <v>78</v>
      </c>
      <c r="C56" s="162" t="s">
        <v>41</v>
      </c>
      <c r="D56" s="134">
        <f>(22.4*2.7)-((2*0.9*2.1)+(1.5*1.7))</f>
        <v>54.15</v>
      </c>
      <c r="E56" s="29"/>
      <c r="F56" s="137"/>
    </row>
    <row r="57" spans="1:6" s="64" customFormat="1" ht="12" customHeight="1">
      <c r="A57" s="39"/>
      <c r="B57" s="148" t="s">
        <v>79</v>
      </c>
      <c r="C57" s="162" t="s">
        <v>41</v>
      </c>
      <c r="D57" s="134">
        <f>(22.4*2.7)-((2*0.9*2.1)+(2*1.5*1.7))</f>
        <v>51.599999999999994</v>
      </c>
      <c r="E57" s="29"/>
      <c r="F57" s="137"/>
    </row>
    <row r="58" spans="1:6" s="64" customFormat="1" ht="12" customHeight="1">
      <c r="A58" s="39"/>
      <c r="B58" s="148" t="s">
        <v>80</v>
      </c>
      <c r="C58" s="162" t="s">
        <v>41</v>
      </c>
      <c r="D58" s="134">
        <f>(27.48*2.7)-((2*0.9*2.1)+(2*1.5*1.7))</f>
        <v>65.316000000000017</v>
      </c>
      <c r="E58" s="29"/>
      <c r="F58" s="135" t="s">
        <v>72</v>
      </c>
    </row>
    <row r="59" spans="1:6" s="64" customFormat="1" ht="12" customHeight="1">
      <c r="A59" s="39"/>
      <c r="B59" s="148" t="s">
        <v>81</v>
      </c>
      <c r="C59" s="162" t="s">
        <v>41</v>
      </c>
      <c r="D59" s="134">
        <f>(28.3*2.7)-((2*0.9*2.1)+(6*1.5*1.7))</f>
        <v>57.330000000000013</v>
      </c>
      <c r="E59" s="29"/>
      <c r="F59" s="135" t="s">
        <v>72</v>
      </c>
    </row>
    <row r="60" spans="1:6" s="64" customFormat="1" ht="12" customHeight="1">
      <c r="A60" s="39"/>
      <c r="B60" s="148" t="s">
        <v>82</v>
      </c>
      <c r="C60" s="162" t="s">
        <v>41</v>
      </c>
      <c r="D60" s="134">
        <f>(28.3*2.7)-((2*0.9*2.1)+(3*1.5*1.7))</f>
        <v>64.980000000000018</v>
      </c>
      <c r="E60" s="29"/>
      <c r="F60" s="135" t="s">
        <v>72</v>
      </c>
    </row>
    <row r="61" spans="1:6" s="64" customFormat="1" ht="12" customHeight="1">
      <c r="A61" s="39"/>
      <c r="B61" s="148" t="s">
        <v>83</v>
      </c>
      <c r="C61" s="162" t="s">
        <v>41</v>
      </c>
      <c r="D61" s="134">
        <f>(20.22*2.7)-(0.9*2.1)</f>
        <v>52.704000000000001</v>
      </c>
      <c r="E61" s="29"/>
      <c r="F61" s="135" t="s">
        <v>72</v>
      </c>
    </row>
    <row r="62" spans="1:6" s="64" customFormat="1" ht="12" customHeight="1">
      <c r="A62" s="39"/>
      <c r="B62" s="148" t="s">
        <v>84</v>
      </c>
      <c r="C62" s="162" t="s">
        <v>41</v>
      </c>
      <c r="D62" s="134">
        <f>(20.34*2.7)-((0.9*2.1)+(1.5*1.7))</f>
        <v>50.478000000000009</v>
      </c>
      <c r="E62" s="29"/>
      <c r="F62" s="135" t="s">
        <v>72</v>
      </c>
    </row>
    <row r="63" spans="1:6" s="64" customFormat="1" ht="12" customHeight="1">
      <c r="A63" s="39"/>
      <c r="B63" s="148" t="s">
        <v>85</v>
      </c>
      <c r="C63" s="162" t="s">
        <v>41</v>
      </c>
      <c r="D63" s="134">
        <f>(36.59*2.7)-(2*1.5*2.1)</f>
        <v>92.493000000000023</v>
      </c>
      <c r="E63" s="29"/>
      <c r="F63" s="137"/>
    </row>
    <row r="64" spans="1:6" s="64" customFormat="1" ht="12" customHeight="1">
      <c r="A64" s="39"/>
      <c r="B64" s="63" t="s">
        <v>86</v>
      </c>
      <c r="C64" s="162" t="s">
        <v>41</v>
      </c>
      <c r="D64" s="134">
        <f>(31.78*2.7)-((2*0.9*2.1)+(3*1.5*1.7))</f>
        <v>74.376000000000005</v>
      </c>
      <c r="E64" s="29"/>
      <c r="F64" s="135" t="s">
        <v>72</v>
      </c>
    </row>
    <row r="65" spans="1:6" s="64" customFormat="1" ht="12" customHeight="1">
      <c r="A65" s="39"/>
      <c r="B65" s="148" t="s">
        <v>87</v>
      </c>
      <c r="C65" s="162" t="s">
        <v>41</v>
      </c>
      <c r="D65" s="134">
        <f>(15.04*2.7)-(2*1.6*2.1)</f>
        <v>33.887999999999998</v>
      </c>
      <c r="E65" s="29"/>
      <c r="F65" s="135" t="s">
        <v>72</v>
      </c>
    </row>
    <row r="66" spans="1:6" s="64" customFormat="1" ht="12" customHeight="1">
      <c r="A66" s="39"/>
      <c r="B66" s="148" t="s">
        <v>88</v>
      </c>
      <c r="C66" s="162" t="s">
        <v>41</v>
      </c>
      <c r="D66" s="134">
        <f>(41.19*2.7)-((2.2*2.3)+(6*1.2*0.7)+(2*0.7)+(1.6*2.1)+(2*1.5*2.1)+(0.9*2.1)+(0.8*0.6))</f>
        <v>87.683000000000007</v>
      </c>
      <c r="E66" s="29"/>
      <c r="F66" s="135" t="s">
        <v>72</v>
      </c>
    </row>
    <row r="67" spans="1:6" s="64" customFormat="1" ht="12" customHeight="1">
      <c r="A67" s="39"/>
      <c r="B67" s="148" t="s">
        <v>89</v>
      </c>
      <c r="C67" s="162" t="s">
        <v>41</v>
      </c>
      <c r="D67" s="134">
        <f>(11.97*2.7)-((2*0.9*2.1)+(0.8*0.6))</f>
        <v>28.059000000000005</v>
      </c>
      <c r="E67" s="29"/>
      <c r="F67" s="135" t="s">
        <v>72</v>
      </c>
    </row>
    <row r="68" spans="1:6" s="64" customFormat="1" ht="12" customHeight="1">
      <c r="A68" s="39"/>
      <c r="B68" s="148" t="s">
        <v>90</v>
      </c>
      <c r="C68" s="162" t="s">
        <v>41</v>
      </c>
      <c r="D68" s="134">
        <f>(25.97*2.7)-((3*0.9*2.1))</f>
        <v>64.448999999999998</v>
      </c>
      <c r="E68" s="29"/>
      <c r="F68" s="135" t="s">
        <v>72</v>
      </c>
    </row>
    <row r="69" spans="1:6" s="64" customFormat="1" ht="12" customHeight="1">
      <c r="A69" s="39"/>
      <c r="B69" s="148" t="s">
        <v>91</v>
      </c>
      <c r="C69" s="162" t="s">
        <v>41</v>
      </c>
      <c r="D69" s="134">
        <f>(8.46*2.7)-((0.9*2.1))</f>
        <v>20.952000000000002</v>
      </c>
      <c r="E69" s="29"/>
      <c r="F69" s="137"/>
    </row>
    <row r="70" spans="1:6" s="64" customFormat="1" ht="12" customHeight="1">
      <c r="A70" s="39"/>
      <c r="B70" s="148" t="s">
        <v>92</v>
      </c>
      <c r="C70" s="162" t="s">
        <v>41</v>
      </c>
      <c r="D70" s="134">
        <f>(12.36*2.7)-((0.9*2.1))</f>
        <v>31.481999999999999</v>
      </c>
      <c r="E70" s="29"/>
      <c r="F70" s="137"/>
    </row>
    <row r="71" spans="1:6" s="64" customFormat="1" ht="12" customHeight="1">
      <c r="A71" s="39"/>
      <c r="B71" s="148" t="s">
        <v>93</v>
      </c>
      <c r="C71" s="162" t="s">
        <v>41</v>
      </c>
      <c r="D71" s="134">
        <f>(7.96*2.7)-((0.9*2.1))</f>
        <v>19.602</v>
      </c>
      <c r="E71" s="29"/>
      <c r="F71" s="137"/>
    </row>
    <row r="72" spans="1:6" s="64" customFormat="1" ht="12" customHeight="1">
      <c r="A72" s="39"/>
      <c r="B72" s="148" t="s">
        <v>94</v>
      </c>
      <c r="C72" s="162" t="s">
        <v>41</v>
      </c>
      <c r="D72" s="134">
        <f>(7.94*2.7)-((0.9*2.1))</f>
        <v>19.548000000000002</v>
      </c>
      <c r="E72" s="29"/>
      <c r="F72" s="137"/>
    </row>
    <row r="73" spans="1:6" s="64" customFormat="1" ht="12" customHeight="1">
      <c r="A73" s="39"/>
      <c r="B73" s="148" t="s">
        <v>95</v>
      </c>
      <c r="C73" s="162" t="s">
        <v>41</v>
      </c>
      <c r="D73" s="134">
        <f>(7.97*2.7)-((0.9*2.1))</f>
        <v>19.629000000000001</v>
      </c>
      <c r="E73" s="29"/>
      <c r="F73" s="137"/>
    </row>
    <row r="74" spans="1:6" s="64" customFormat="1" ht="12" customHeight="1">
      <c r="A74" s="39"/>
      <c r="B74" s="148" t="s">
        <v>96</v>
      </c>
      <c r="C74" s="162" t="s">
        <v>41</v>
      </c>
      <c r="D74" s="134">
        <f>(7.93*2.7)-(2*0.9*2.1)</f>
        <v>17.631</v>
      </c>
      <c r="E74" s="29"/>
      <c r="F74" s="137"/>
    </row>
    <row r="75" spans="1:6" s="64" customFormat="1" ht="12" customHeight="1">
      <c r="A75" s="39"/>
      <c r="B75" s="148" t="s">
        <v>97</v>
      </c>
      <c r="C75" s="162" t="s">
        <v>41</v>
      </c>
      <c r="D75" s="134">
        <f>(30.13*2.7)-((4*0.9*2.1))</f>
        <v>73.790999999999997</v>
      </c>
      <c r="E75" s="29"/>
      <c r="F75" s="137"/>
    </row>
    <row r="76" spans="1:6" s="64" customFormat="1" ht="12" customHeight="1">
      <c r="A76" s="39"/>
      <c r="B76" s="148" t="s">
        <v>98</v>
      </c>
      <c r="C76" s="162" t="s">
        <v>41</v>
      </c>
      <c r="D76" s="134">
        <f>(30.3*2.7)-((4*0.9*2.1))</f>
        <v>74.25</v>
      </c>
      <c r="E76" s="29"/>
      <c r="F76" s="137"/>
    </row>
    <row r="77" spans="1:6" s="64" customFormat="1" ht="12" customHeight="1">
      <c r="A77" s="39"/>
      <c r="B77" s="148" t="s">
        <v>99</v>
      </c>
      <c r="C77" s="162" t="s">
        <v>41</v>
      </c>
      <c r="D77" s="134">
        <f>(104.68*2.7)-((17*0.9*2.1)+(2*1.6*2.7)+(12*1.5*1.7))</f>
        <v>211.26600000000002</v>
      </c>
      <c r="E77" s="29"/>
      <c r="F77" s="137"/>
    </row>
    <row r="78" spans="1:6" s="64" customFormat="1" ht="12" customHeight="1">
      <c r="A78" s="39"/>
      <c r="B78" s="148" t="s">
        <v>100</v>
      </c>
      <c r="C78" s="162" t="s">
        <v>41</v>
      </c>
      <c r="D78" s="134">
        <f>(72.94*2.7)-((8*0.9*2.1)+(3*1.6*2.7)+(8*1.5*1.7))</f>
        <v>148.45800000000003</v>
      </c>
      <c r="E78" s="29"/>
      <c r="F78" s="135" t="s">
        <v>72</v>
      </c>
    </row>
    <row r="79" spans="1:6" s="64" customFormat="1" ht="12" customHeight="1">
      <c r="A79" s="39"/>
      <c r="B79" s="148" t="s">
        <v>101</v>
      </c>
      <c r="C79" s="162" t="s">
        <v>41</v>
      </c>
      <c r="D79" s="134">
        <f>(15.18*2.7)-((1.6*2.7)+(2*0.9*2.1))</f>
        <v>32.886000000000003</v>
      </c>
      <c r="E79" s="29"/>
      <c r="F79" s="135" t="s">
        <v>72</v>
      </c>
    </row>
    <row r="80" spans="1:6" s="64" customFormat="1" ht="12" customHeight="1">
      <c r="A80" s="39"/>
      <c r="B80" s="148" t="s">
        <v>102</v>
      </c>
      <c r="C80" s="162" t="s">
        <v>41</v>
      </c>
      <c r="D80" s="134">
        <f>(15.18*2.7)-((1.6*2.7)+(2*0.9*2.1))</f>
        <v>32.886000000000003</v>
      </c>
      <c r="E80" s="29"/>
      <c r="F80" s="135" t="s">
        <v>72</v>
      </c>
    </row>
    <row r="81" spans="1:6" s="64" customFormat="1" ht="12" customHeight="1">
      <c r="A81" s="140"/>
      <c r="B81" s="138" t="s">
        <v>70</v>
      </c>
      <c r="C81" s="162"/>
      <c r="D81" s="134"/>
      <c r="E81" s="139"/>
      <c r="F81" s="137"/>
    </row>
    <row r="82" spans="1:6" s="64" customFormat="1" ht="12" customHeight="1">
      <c r="A82" s="39"/>
      <c r="B82" s="148" t="s">
        <v>103</v>
      </c>
      <c r="C82" s="162" t="s">
        <v>41</v>
      </c>
      <c r="D82" s="134">
        <f>(38.63*2.7)-((2*0.9*2.1)+(6*1.5*1.7))</f>
        <v>85.221000000000018</v>
      </c>
      <c r="E82" s="29"/>
      <c r="F82" s="137"/>
    </row>
    <row r="83" spans="1:6" s="64" customFormat="1" ht="12" customHeight="1">
      <c r="A83" s="39"/>
      <c r="B83" s="148" t="s">
        <v>104</v>
      </c>
      <c r="C83" s="162" t="s">
        <v>41</v>
      </c>
      <c r="D83" s="134">
        <f>(38.71*2.7)-((2*0.9*2.1)+(6*1.5*1.7))</f>
        <v>85.437000000000012</v>
      </c>
      <c r="E83" s="29"/>
      <c r="F83" s="137"/>
    </row>
    <row r="84" spans="1:6" s="64" customFormat="1" ht="12" customHeight="1">
      <c r="A84" s="39"/>
      <c r="B84" s="148" t="s">
        <v>105</v>
      </c>
      <c r="C84" s="162" t="s">
        <v>41</v>
      </c>
      <c r="D84" s="134">
        <f>(31.61*2.7)-((4*0.9*2.1)+(3*1.5*1.7))</f>
        <v>70.137</v>
      </c>
      <c r="E84" s="29"/>
      <c r="F84" s="135" t="s">
        <v>72</v>
      </c>
    </row>
    <row r="85" spans="1:6" s="64" customFormat="1" ht="12" customHeight="1">
      <c r="A85" s="39"/>
      <c r="B85" s="148" t="s">
        <v>106</v>
      </c>
      <c r="C85" s="162" t="s">
        <v>41</v>
      </c>
      <c r="D85" s="134">
        <f>(28.03*2.7)-((2*0.9*2.1)+(2*1.5*1.7))</f>
        <v>66.801000000000016</v>
      </c>
      <c r="E85" s="29"/>
      <c r="F85" s="135" t="s">
        <v>72</v>
      </c>
    </row>
    <row r="86" spans="1:6" s="64" customFormat="1" ht="12" customHeight="1">
      <c r="A86" s="39"/>
      <c r="B86" s="148" t="s">
        <v>107</v>
      </c>
      <c r="C86" s="162" t="s">
        <v>41</v>
      </c>
      <c r="D86" s="134">
        <f>(28.14*2.7)-((3*0.9*2.1)+(3*1.5*1.7))</f>
        <v>62.658000000000008</v>
      </c>
      <c r="E86" s="29"/>
      <c r="F86" s="135" t="s">
        <v>72</v>
      </c>
    </row>
    <row r="87" spans="1:6" s="64" customFormat="1" ht="12" customHeight="1">
      <c r="A87" s="39"/>
      <c r="B87" s="148" t="s">
        <v>108</v>
      </c>
      <c r="C87" s="162" t="s">
        <v>41</v>
      </c>
      <c r="D87" s="134">
        <f>(27.7*2.7)-((3*0.9*2.1)+(3*1.5*1.7))</f>
        <v>61.470000000000006</v>
      </c>
      <c r="E87" s="29"/>
      <c r="F87" s="135" t="s">
        <v>72</v>
      </c>
    </row>
    <row r="88" spans="1:6" s="64" customFormat="1" ht="12" customHeight="1">
      <c r="A88" s="39"/>
      <c r="B88" s="148" t="s">
        <v>109</v>
      </c>
      <c r="C88" s="162" t="s">
        <v>41</v>
      </c>
      <c r="D88" s="134">
        <f>(26.78*2.7)-((2*0.9*2.1)+(4*1.5*1.7))</f>
        <v>58.326000000000008</v>
      </c>
      <c r="E88" s="29"/>
      <c r="F88" s="135" t="s">
        <v>72</v>
      </c>
    </row>
    <row r="89" spans="1:6" s="64" customFormat="1" ht="12" customHeight="1">
      <c r="A89" s="39"/>
      <c r="B89" s="148" t="s">
        <v>110</v>
      </c>
      <c r="C89" s="162" t="s">
        <v>41</v>
      </c>
      <c r="D89" s="134">
        <f>(28.15*2.7)-((2*0.9*2.1)+(3*1.5*1.7))</f>
        <v>64.574999999999989</v>
      </c>
      <c r="E89" s="29"/>
      <c r="F89" s="135" t="s">
        <v>72</v>
      </c>
    </row>
    <row r="90" spans="1:6" s="64" customFormat="1" ht="12" customHeight="1">
      <c r="A90" s="39"/>
      <c r="B90" s="148" t="s">
        <v>111</v>
      </c>
      <c r="C90" s="162" t="s">
        <v>41</v>
      </c>
      <c r="D90" s="134">
        <f>(28.16*2.7)-((3*0.9*2.1)+(3*1.5*1.7))</f>
        <v>62.71200000000001</v>
      </c>
      <c r="E90" s="29"/>
      <c r="F90" s="135" t="s">
        <v>72</v>
      </c>
    </row>
    <row r="91" spans="1:6" s="64" customFormat="1" ht="12" customHeight="1">
      <c r="A91" s="39"/>
      <c r="B91" s="148" t="s">
        <v>112</v>
      </c>
      <c r="C91" s="162" t="s">
        <v>41</v>
      </c>
      <c r="D91" s="134">
        <f>(31.3*2.7)-((2*0.9*2.1)+(3*1.5*1.7))</f>
        <v>73.080000000000013</v>
      </c>
      <c r="E91" s="29"/>
      <c r="F91" s="135" t="s">
        <v>72</v>
      </c>
    </row>
    <row r="92" spans="1:6" s="64" customFormat="1" ht="12" customHeight="1">
      <c r="A92" s="39"/>
      <c r="B92" s="148" t="s">
        <v>113</v>
      </c>
      <c r="C92" s="162" t="s">
        <v>41</v>
      </c>
      <c r="D92" s="134">
        <f>(10.76*2.7)-((0.9*2.1))</f>
        <v>27.161999999999999</v>
      </c>
      <c r="E92" s="29"/>
      <c r="F92" s="137"/>
    </row>
    <row r="93" spans="1:6" s="64" customFormat="1" ht="12" customHeight="1">
      <c r="A93" s="39"/>
      <c r="B93" s="148" t="s">
        <v>114</v>
      </c>
      <c r="C93" s="162" t="s">
        <v>41</v>
      </c>
      <c r="D93" s="134">
        <f>(9.27*2.7)-(0.9*2.1)</f>
        <v>23.138999999999999</v>
      </c>
      <c r="E93" s="29"/>
      <c r="F93" s="135" t="s">
        <v>72</v>
      </c>
    </row>
    <row r="94" spans="1:6" s="64" customFormat="1" ht="12" customHeight="1">
      <c r="A94" s="39"/>
      <c r="B94" s="148" t="s">
        <v>115</v>
      </c>
      <c r="C94" s="162" t="s">
        <v>41</v>
      </c>
      <c r="D94" s="134">
        <f>(31.24*2.7)-((3*0.9*2.1)+(3*1.5*1.7))</f>
        <v>71.027999999999992</v>
      </c>
      <c r="E94" s="29"/>
      <c r="F94" s="137"/>
    </row>
    <row r="95" spans="1:6" s="64" customFormat="1" ht="12" customHeight="1">
      <c r="A95" s="39"/>
      <c r="B95" s="148" t="s">
        <v>116</v>
      </c>
      <c r="C95" s="162" t="s">
        <v>41</v>
      </c>
      <c r="D95" s="134">
        <f>(32.54*2.7)-((3*0.9*2.1)+(3*1.5*1.7))</f>
        <v>74.538000000000011</v>
      </c>
      <c r="E95" s="29"/>
      <c r="F95" s="135" t="s">
        <v>72</v>
      </c>
    </row>
    <row r="96" spans="1:6" s="64" customFormat="1" ht="12" customHeight="1">
      <c r="A96" s="39"/>
      <c r="B96" s="148" t="s">
        <v>117</v>
      </c>
      <c r="C96" s="162" t="s">
        <v>41</v>
      </c>
      <c r="D96" s="134">
        <f>(38.65*2.7)-((3*0.9*2.1)+(6*1.5*1.7))</f>
        <v>83.385000000000005</v>
      </c>
      <c r="E96" s="29"/>
      <c r="F96" s="137"/>
    </row>
    <row r="97" spans="1:6" s="64" customFormat="1" ht="12" customHeight="1">
      <c r="A97" s="39"/>
      <c r="B97" s="148" t="s">
        <v>118</v>
      </c>
      <c r="C97" s="162" t="s">
        <v>41</v>
      </c>
      <c r="D97" s="134">
        <f>(38.65*2.7)-((3*0.9*2.1)+(6*1.5*1.7))</f>
        <v>83.385000000000005</v>
      </c>
      <c r="E97" s="29"/>
      <c r="F97" s="137"/>
    </row>
    <row r="98" spans="1:6" s="64" customFormat="1" ht="12" customHeight="1">
      <c r="A98" s="39"/>
      <c r="B98" s="148" t="s">
        <v>119</v>
      </c>
      <c r="C98" s="162" t="s">
        <v>41</v>
      </c>
      <c r="D98" s="134">
        <f>(28.36*2.7)-((2*0.9*2.1)+(3*1.5*1.7))</f>
        <v>65.141999999999996</v>
      </c>
      <c r="E98" s="29"/>
      <c r="F98" s="137"/>
    </row>
    <row r="99" spans="1:6" s="64" customFormat="1" ht="12" customHeight="1">
      <c r="A99" s="39"/>
      <c r="B99" s="148" t="s">
        <v>120</v>
      </c>
      <c r="C99" s="162" t="s">
        <v>41</v>
      </c>
      <c r="D99" s="134">
        <f>(27.16*2.7)-((3*0.9*2.1))</f>
        <v>67.662000000000006</v>
      </c>
      <c r="E99" s="29"/>
      <c r="F99" s="137"/>
    </row>
    <row r="100" spans="1:6" s="64" customFormat="1" ht="12" customHeight="1" thickBot="1">
      <c r="A100" s="163"/>
      <c r="B100" s="164" t="s">
        <v>121</v>
      </c>
      <c r="C100" s="165" t="s">
        <v>41</v>
      </c>
      <c r="D100" s="149">
        <f>(41*2.7)-((4*0.9*2.1)+(2*1.5*1.7)+(2.6*2.7)+(1.32*2.7))</f>
        <v>87.456000000000003</v>
      </c>
      <c r="E100" s="78"/>
      <c r="F100" s="182"/>
    </row>
    <row r="101" spans="1:6" s="64" customFormat="1" ht="12" customHeight="1" thickTop="1">
      <c r="A101" s="167"/>
      <c r="B101" s="168" t="s">
        <v>122</v>
      </c>
      <c r="C101" s="169" t="s">
        <v>41</v>
      </c>
      <c r="D101" s="170">
        <f>(15.84*2.7)-((0.9*2.1)+(1.5*1.7))</f>
        <v>38.328000000000003</v>
      </c>
      <c r="E101" s="12"/>
      <c r="F101" s="187"/>
    </row>
    <row r="102" spans="1:6" s="64" customFormat="1" ht="12" customHeight="1">
      <c r="A102" s="39"/>
      <c r="B102" s="148" t="s">
        <v>123</v>
      </c>
      <c r="C102" s="162" t="s">
        <v>41</v>
      </c>
      <c r="D102" s="134">
        <f>(120.25*2.7)-((18*0.9*2.1)+(2*1.6*2.2)+(1.4*2.1)+(1.6*2.7)+(11*1.5*1.7))</f>
        <v>248.30500000000001</v>
      </c>
      <c r="E102" s="29"/>
      <c r="F102" s="135" t="s">
        <v>72</v>
      </c>
    </row>
    <row r="103" spans="1:6" s="64" customFormat="1" ht="12" customHeight="1">
      <c r="A103" s="39"/>
      <c r="B103" s="148" t="s">
        <v>124</v>
      </c>
      <c r="C103" s="162" t="s">
        <v>41</v>
      </c>
      <c r="D103" s="134">
        <f>(72.26*2.7)-((7*0.9*2.1)+(3*1.6*2.1)+(8*1.5*1.7))</f>
        <v>151.39200000000002</v>
      </c>
      <c r="E103" s="29"/>
      <c r="F103" s="137"/>
    </row>
    <row r="104" spans="1:6" s="64" customFormat="1" ht="12" customHeight="1">
      <c r="A104" s="39"/>
      <c r="B104" s="148" t="s">
        <v>125</v>
      </c>
      <c r="C104" s="162" t="s">
        <v>41</v>
      </c>
      <c r="D104" s="134">
        <f>(4.94*2.7)-((0.9*2.1))</f>
        <v>11.448000000000002</v>
      </c>
      <c r="E104" s="29"/>
      <c r="F104" s="137"/>
    </row>
    <row r="105" spans="1:6" s="64" customFormat="1" ht="12" customHeight="1" thickBot="1">
      <c r="A105" s="140"/>
      <c r="B105" s="148"/>
      <c r="C105" s="162"/>
      <c r="D105" s="134"/>
      <c r="E105" s="139"/>
      <c r="F105" s="137"/>
    </row>
    <row r="106" spans="1:6" ht="27" customHeight="1" thickTop="1" thickBot="1">
      <c r="A106" s="131"/>
      <c r="B106" s="172"/>
      <c r="C106" s="501" t="str">
        <f>+B47</f>
        <v>PLATRERIE</v>
      </c>
      <c r="D106" s="502"/>
      <c r="E106" s="503"/>
      <c r="F106" s="152"/>
    </row>
    <row r="107" spans="1:6" ht="12" customHeight="1" thickTop="1">
      <c r="A107" s="131"/>
      <c r="B107" s="173"/>
      <c r="C107" s="121"/>
      <c r="D107" s="174"/>
      <c r="E107" s="175"/>
      <c r="F107" s="176"/>
    </row>
    <row r="108" spans="1:6" s="89" customFormat="1" ht="20.100000000000001" customHeight="1">
      <c r="A108" s="177">
        <f>A47+0.1</f>
        <v>10.399999999999999</v>
      </c>
      <c r="B108" s="126" t="s">
        <v>53</v>
      </c>
      <c r="C108" s="127"/>
      <c r="D108" s="128"/>
      <c r="E108" s="178"/>
      <c r="F108" s="179"/>
    </row>
    <row r="109" spans="1:6" s="46" customFormat="1" ht="23.25" customHeight="1">
      <c r="A109" s="131"/>
      <c r="B109" s="154" t="s">
        <v>54</v>
      </c>
      <c r="C109" s="146"/>
      <c r="D109" s="134" t="s">
        <v>33</v>
      </c>
      <c r="E109" s="139"/>
      <c r="F109" s="137"/>
    </row>
    <row r="110" spans="1:6" s="64" customFormat="1" ht="12" customHeight="1">
      <c r="A110" s="140"/>
      <c r="B110" s="138" t="s">
        <v>126</v>
      </c>
      <c r="C110" s="133"/>
      <c r="D110" s="180"/>
      <c r="E110" s="139"/>
      <c r="F110" s="137"/>
    </row>
    <row r="111" spans="1:6" s="64" customFormat="1" ht="12" customHeight="1">
      <c r="A111" s="39"/>
      <c r="B111" s="148" t="s">
        <v>83</v>
      </c>
      <c r="C111" s="133" t="s">
        <v>41</v>
      </c>
      <c r="D111" s="134">
        <v>22.05</v>
      </c>
      <c r="E111" s="29"/>
      <c r="F111" s="137"/>
    </row>
    <row r="112" spans="1:6" s="64" customFormat="1" ht="12" customHeight="1">
      <c r="A112" s="39"/>
      <c r="B112" s="148" t="s">
        <v>84</v>
      </c>
      <c r="C112" s="133" t="s">
        <v>41</v>
      </c>
      <c r="D112" s="134">
        <v>22.45</v>
      </c>
      <c r="E112" s="29"/>
      <c r="F112" s="137"/>
    </row>
    <row r="113" spans="1:6" s="64" customFormat="1" ht="12" customHeight="1">
      <c r="A113" s="39"/>
      <c r="B113" s="148" t="s">
        <v>85</v>
      </c>
      <c r="C113" s="133" t="s">
        <v>41</v>
      </c>
      <c r="D113" s="134">
        <v>59.45</v>
      </c>
      <c r="E113" s="29"/>
      <c r="F113" s="137"/>
    </row>
    <row r="114" spans="1:6" s="64" customFormat="1" ht="12" customHeight="1">
      <c r="A114" s="39"/>
      <c r="B114" s="148" t="s">
        <v>91</v>
      </c>
      <c r="C114" s="133" t="s">
        <v>41</v>
      </c>
      <c r="D114" s="134">
        <v>4.3499999999999996</v>
      </c>
      <c r="E114" s="29"/>
      <c r="F114" s="137"/>
    </row>
    <row r="115" spans="1:6" s="64" customFormat="1" ht="12" customHeight="1">
      <c r="A115" s="39"/>
      <c r="B115" s="148" t="s">
        <v>92</v>
      </c>
      <c r="C115" s="133" t="s">
        <v>41</v>
      </c>
      <c r="D115" s="134">
        <v>7.15</v>
      </c>
      <c r="E115" s="29"/>
      <c r="F115" s="137"/>
    </row>
    <row r="116" spans="1:6" s="64" customFormat="1" ht="12" customHeight="1">
      <c r="A116" s="39"/>
      <c r="B116" s="148" t="s">
        <v>93</v>
      </c>
      <c r="C116" s="133" t="s">
        <v>41</v>
      </c>
      <c r="D116" s="134">
        <v>3.55</v>
      </c>
      <c r="E116" s="29"/>
      <c r="F116" s="137"/>
    </row>
    <row r="117" spans="1:6" s="64" customFormat="1" ht="12" customHeight="1">
      <c r="A117" s="39"/>
      <c r="B117" s="148" t="s">
        <v>94</v>
      </c>
      <c r="C117" s="133" t="s">
        <v>41</v>
      </c>
      <c r="D117" s="134">
        <v>3.55</v>
      </c>
      <c r="E117" s="29"/>
      <c r="F117" s="137"/>
    </row>
    <row r="118" spans="1:6" s="64" customFormat="1" ht="12" customHeight="1">
      <c r="A118" s="39"/>
      <c r="B118" s="148" t="s">
        <v>95</v>
      </c>
      <c r="C118" s="133" t="s">
        <v>41</v>
      </c>
      <c r="D118" s="134">
        <v>3.55</v>
      </c>
      <c r="E118" s="29"/>
      <c r="F118" s="137"/>
    </row>
    <row r="119" spans="1:6" s="64" customFormat="1" ht="12" customHeight="1">
      <c r="A119" s="39"/>
      <c r="B119" s="148" t="s">
        <v>127</v>
      </c>
      <c r="C119" s="133" t="s">
        <v>41</v>
      </c>
      <c r="D119" s="134">
        <v>11.5</v>
      </c>
      <c r="E119" s="29"/>
      <c r="F119" s="137"/>
    </row>
    <row r="120" spans="1:6" s="64" customFormat="1" ht="12" customHeight="1">
      <c r="A120" s="39"/>
      <c r="B120" s="148" t="s">
        <v>96</v>
      </c>
      <c r="C120" s="133" t="s">
        <v>41</v>
      </c>
      <c r="D120" s="134">
        <v>3.55</v>
      </c>
      <c r="E120" s="29"/>
      <c r="F120" s="137"/>
    </row>
    <row r="121" spans="1:6" s="64" customFormat="1" ht="12" customHeight="1">
      <c r="A121" s="39"/>
      <c r="B121" s="148" t="s">
        <v>128</v>
      </c>
      <c r="C121" s="133" t="s">
        <v>41</v>
      </c>
      <c r="D121" s="134">
        <v>0.9</v>
      </c>
      <c r="E121" s="29"/>
      <c r="F121" s="137"/>
    </row>
    <row r="122" spans="1:6" s="64" customFormat="1" ht="12" customHeight="1">
      <c r="A122" s="140"/>
      <c r="B122" s="138" t="s">
        <v>129</v>
      </c>
      <c r="C122" s="133"/>
      <c r="D122" s="180"/>
      <c r="E122" s="139"/>
      <c r="F122" s="137"/>
    </row>
    <row r="123" spans="1:6" s="64" customFormat="1" ht="12" customHeight="1">
      <c r="A123" s="39"/>
      <c r="B123" s="148" t="s">
        <v>113</v>
      </c>
      <c r="C123" s="133" t="s">
        <v>41</v>
      </c>
      <c r="D123" s="134">
        <v>6.75</v>
      </c>
      <c r="E123" s="29"/>
      <c r="F123" s="137"/>
    </row>
    <row r="124" spans="1:6" s="64" customFormat="1" ht="12" customHeight="1">
      <c r="A124" s="39"/>
      <c r="B124" s="148" t="s">
        <v>121</v>
      </c>
      <c r="C124" s="133" t="s">
        <v>41</v>
      </c>
      <c r="D124" s="134">
        <v>46</v>
      </c>
      <c r="E124" s="29"/>
      <c r="F124" s="137"/>
    </row>
    <row r="125" spans="1:6" s="64" customFormat="1" ht="12" customHeight="1">
      <c r="A125" s="39"/>
      <c r="B125" s="148" t="s">
        <v>122</v>
      </c>
      <c r="C125" s="133" t="s">
        <v>41</v>
      </c>
      <c r="D125" s="134">
        <v>13.6</v>
      </c>
      <c r="E125" s="29"/>
      <c r="F125" s="137"/>
    </row>
    <row r="126" spans="1:6" s="64" customFormat="1" ht="12" customHeight="1">
      <c r="A126" s="39"/>
      <c r="B126" s="148" t="s">
        <v>125</v>
      </c>
      <c r="C126" s="133" t="s">
        <v>41</v>
      </c>
      <c r="D126" s="134">
        <v>1.5</v>
      </c>
      <c r="E126" s="29"/>
      <c r="F126" s="137"/>
    </row>
    <row r="127" spans="1:6" s="64" customFormat="1" ht="12" customHeight="1">
      <c r="A127" s="39"/>
      <c r="B127" s="148" t="s">
        <v>130</v>
      </c>
      <c r="C127" s="133" t="s">
        <v>41</v>
      </c>
      <c r="D127" s="134">
        <v>0.85</v>
      </c>
      <c r="E127" s="29"/>
      <c r="F127" s="137"/>
    </row>
    <row r="128" spans="1:6" s="64" customFormat="1" ht="12" customHeight="1">
      <c r="A128" s="39"/>
      <c r="B128" s="148" t="s">
        <v>131</v>
      </c>
      <c r="C128" s="133" t="s">
        <v>41</v>
      </c>
      <c r="D128" s="134">
        <v>0.45</v>
      </c>
      <c r="E128" s="29"/>
      <c r="F128" s="137"/>
    </row>
    <row r="129" spans="1:6" s="64" customFormat="1" ht="12" customHeight="1">
      <c r="A129" s="140"/>
      <c r="B129" s="148"/>
      <c r="C129" s="133"/>
      <c r="D129" s="134"/>
      <c r="E129" s="139"/>
      <c r="F129" s="137"/>
    </row>
    <row r="130" spans="1:6" s="46" customFormat="1" ht="15" customHeight="1">
      <c r="A130" s="131"/>
      <c r="B130" s="154" t="s">
        <v>132</v>
      </c>
      <c r="C130" s="133"/>
      <c r="D130" s="134"/>
      <c r="E130" s="147"/>
      <c r="F130" s="135"/>
    </row>
    <row r="131" spans="1:6" s="64" customFormat="1" ht="12" customHeight="1">
      <c r="A131" s="140"/>
      <c r="B131" s="138" t="s">
        <v>126</v>
      </c>
      <c r="C131" s="133"/>
      <c r="D131" s="180"/>
      <c r="E131" s="139"/>
      <c r="F131" s="137"/>
    </row>
    <row r="132" spans="1:6" s="64" customFormat="1" ht="12" customHeight="1">
      <c r="A132" s="39"/>
      <c r="B132" s="148" t="s">
        <v>133</v>
      </c>
      <c r="C132" s="133" t="s">
        <v>41</v>
      </c>
      <c r="D132" s="134">
        <v>11.4</v>
      </c>
      <c r="E132" s="29"/>
      <c r="F132" s="137"/>
    </row>
    <row r="133" spans="1:6" s="64" customFormat="1" ht="12" customHeight="1">
      <c r="A133" s="39"/>
      <c r="B133" s="148" t="s">
        <v>134</v>
      </c>
      <c r="C133" s="133" t="s">
        <v>41</v>
      </c>
      <c r="D133" s="134">
        <v>15.95</v>
      </c>
      <c r="E133" s="29"/>
      <c r="F133" s="137"/>
    </row>
    <row r="134" spans="1:6" s="64" customFormat="1" ht="12" customHeight="1">
      <c r="A134" s="39"/>
      <c r="B134" s="148" t="s">
        <v>135</v>
      </c>
      <c r="C134" s="133" t="s">
        <v>41</v>
      </c>
      <c r="D134" s="134">
        <v>16.5</v>
      </c>
      <c r="E134" s="29"/>
      <c r="F134" s="137"/>
    </row>
    <row r="135" spans="1:6" s="64" customFormat="1" ht="12" customHeight="1">
      <c r="A135" s="39"/>
      <c r="B135" s="148" t="s">
        <v>136</v>
      </c>
      <c r="C135" s="133" t="s">
        <v>41</v>
      </c>
      <c r="D135" s="134">
        <v>102.95</v>
      </c>
      <c r="E135" s="29"/>
      <c r="F135" s="137"/>
    </row>
    <row r="136" spans="1:6" s="64" customFormat="1" ht="12" customHeight="1">
      <c r="A136" s="39"/>
      <c r="B136" s="148" t="s">
        <v>137</v>
      </c>
      <c r="C136" s="133" t="s">
        <v>41</v>
      </c>
      <c r="D136" s="134">
        <v>61.4</v>
      </c>
      <c r="E136" s="29"/>
      <c r="F136" s="137"/>
    </row>
    <row r="137" spans="1:6" s="64" customFormat="1" ht="12" customHeight="1">
      <c r="A137" s="39"/>
      <c r="B137" s="148" t="s">
        <v>138</v>
      </c>
      <c r="C137" s="133" t="s">
        <v>41</v>
      </c>
      <c r="D137" s="134">
        <v>8.1</v>
      </c>
      <c r="E137" s="29"/>
      <c r="F137" s="137"/>
    </row>
    <row r="138" spans="1:6" s="64" customFormat="1" ht="12" customHeight="1">
      <c r="A138" s="140"/>
      <c r="B138" s="138" t="s">
        <v>129</v>
      </c>
      <c r="C138" s="133"/>
      <c r="D138" s="180"/>
      <c r="E138" s="139"/>
      <c r="F138" s="137"/>
    </row>
    <row r="139" spans="1:6" s="64" customFormat="1" ht="12" customHeight="1">
      <c r="A139" s="39"/>
      <c r="B139" s="148" t="s">
        <v>139</v>
      </c>
      <c r="C139" s="133" t="s">
        <v>41</v>
      </c>
      <c r="D139" s="134">
        <v>4.8</v>
      </c>
      <c r="E139" s="29"/>
      <c r="F139" s="137"/>
    </row>
    <row r="140" spans="1:6" s="64" customFormat="1" ht="12" customHeight="1">
      <c r="A140" s="39"/>
      <c r="B140" s="148" t="s">
        <v>140</v>
      </c>
      <c r="C140" s="133" t="s">
        <v>41</v>
      </c>
      <c r="D140" s="134">
        <v>181.6</v>
      </c>
      <c r="E140" s="29"/>
      <c r="F140" s="137"/>
    </row>
    <row r="141" spans="1:6" s="64" customFormat="1" ht="12" customHeight="1">
      <c r="A141" s="140"/>
      <c r="B141" s="148"/>
      <c r="C141" s="133"/>
      <c r="D141" s="134"/>
      <c r="E141" s="139"/>
      <c r="F141" s="137"/>
    </row>
    <row r="142" spans="1:6" s="46" customFormat="1">
      <c r="A142" s="131"/>
      <c r="B142" s="154" t="s">
        <v>141</v>
      </c>
      <c r="C142" s="133"/>
      <c r="D142" s="134"/>
      <c r="E142" s="139"/>
      <c r="F142" s="135"/>
    </row>
    <row r="143" spans="1:6" s="64" customFormat="1" ht="15">
      <c r="A143" s="140"/>
      <c r="B143" s="138" t="s">
        <v>126</v>
      </c>
      <c r="C143" s="133"/>
      <c r="D143" s="134"/>
      <c r="E143" s="139"/>
      <c r="F143" s="137"/>
    </row>
    <row r="144" spans="1:6" s="64" customFormat="1" ht="15">
      <c r="A144" s="39"/>
      <c r="B144" s="148" t="s">
        <v>142</v>
      </c>
      <c r="C144" s="133" t="s">
        <v>41</v>
      </c>
      <c r="D144" s="134">
        <v>49.5</v>
      </c>
      <c r="E144" s="29"/>
      <c r="F144" s="137"/>
    </row>
    <row r="145" spans="1:6" s="64" customFormat="1" ht="15.75" thickBot="1">
      <c r="A145" s="163"/>
      <c r="B145" s="164" t="s">
        <v>143</v>
      </c>
      <c r="C145" s="181" t="s">
        <v>41</v>
      </c>
      <c r="D145" s="149">
        <v>47.9</v>
      </c>
      <c r="E145" s="78"/>
      <c r="F145" s="182"/>
    </row>
    <row r="146" spans="1:6" s="64" customFormat="1" ht="15.75" thickTop="1">
      <c r="A146" s="167"/>
      <c r="B146" s="168" t="s">
        <v>78</v>
      </c>
      <c r="C146" s="121" t="s">
        <v>41</v>
      </c>
      <c r="D146" s="170">
        <v>29.5</v>
      </c>
      <c r="E146" s="12"/>
      <c r="F146" s="187"/>
    </row>
    <row r="147" spans="1:6" s="64" customFormat="1" ht="15">
      <c r="A147" s="39"/>
      <c r="B147" s="148" t="s">
        <v>79</v>
      </c>
      <c r="C147" s="133" t="s">
        <v>41</v>
      </c>
      <c r="D147" s="134">
        <v>29.5</v>
      </c>
      <c r="E147" s="29"/>
      <c r="F147" s="137"/>
    </row>
    <row r="148" spans="1:6" s="64" customFormat="1" ht="15">
      <c r="A148" s="39"/>
      <c r="B148" s="148" t="s">
        <v>80</v>
      </c>
      <c r="C148" s="133" t="s">
        <v>41</v>
      </c>
      <c r="D148" s="134">
        <v>47.2</v>
      </c>
      <c r="E148" s="29"/>
      <c r="F148" s="137"/>
    </row>
    <row r="149" spans="1:6" s="64" customFormat="1" ht="15">
      <c r="A149" s="39"/>
      <c r="B149" s="148" t="s">
        <v>144</v>
      </c>
      <c r="C149" s="133" t="s">
        <v>41</v>
      </c>
      <c r="D149" s="134">
        <v>50.05</v>
      </c>
      <c r="E149" s="29"/>
      <c r="F149" s="137"/>
    </row>
    <row r="150" spans="1:6" s="64" customFormat="1" ht="15">
      <c r="A150" s="39"/>
      <c r="B150" s="148"/>
      <c r="C150" s="133"/>
      <c r="D150" s="134"/>
      <c r="E150" s="139"/>
      <c r="F150" s="137"/>
    </row>
    <row r="151" spans="1:6" s="46" customFormat="1">
      <c r="A151" s="131"/>
      <c r="B151" s="61" t="s">
        <v>145</v>
      </c>
      <c r="C151" s="133"/>
      <c r="D151" s="134"/>
      <c r="E151" s="139"/>
      <c r="F151" s="135"/>
    </row>
    <row r="152" spans="1:6" s="64" customFormat="1" ht="15">
      <c r="A152" s="140"/>
      <c r="B152" s="138" t="s">
        <v>129</v>
      </c>
      <c r="C152" s="133"/>
      <c r="D152" s="134"/>
      <c r="E152" s="139"/>
      <c r="F152" s="137"/>
    </row>
    <row r="153" spans="1:6" s="64" customFormat="1" ht="15">
      <c r="A153" s="39"/>
      <c r="B153" s="132" t="s">
        <v>107</v>
      </c>
      <c r="C153" s="133" t="s">
        <v>61</v>
      </c>
      <c r="D153" s="134">
        <v>27.35</v>
      </c>
      <c r="E153" s="29"/>
      <c r="F153" s="137"/>
    </row>
    <row r="154" spans="1:6" s="64" customFormat="1" ht="15">
      <c r="A154" s="39"/>
      <c r="B154" s="132" t="s">
        <v>108</v>
      </c>
      <c r="C154" s="133" t="s">
        <v>61</v>
      </c>
      <c r="D154" s="134">
        <v>26.89</v>
      </c>
      <c r="E154" s="29"/>
      <c r="F154" s="137"/>
    </row>
    <row r="155" spans="1:6" s="64" customFormat="1" ht="15">
      <c r="A155" s="39"/>
      <c r="B155" s="132" t="s">
        <v>109</v>
      </c>
      <c r="C155" s="133" t="s">
        <v>61</v>
      </c>
      <c r="D155" s="134">
        <v>26.01</v>
      </c>
      <c r="E155" s="29"/>
      <c r="F155" s="137"/>
    </row>
    <row r="156" spans="1:6" s="64" customFormat="1" ht="15">
      <c r="A156" s="39"/>
      <c r="B156" s="132" t="s">
        <v>110</v>
      </c>
      <c r="C156" s="133" t="s">
        <v>61</v>
      </c>
      <c r="D156" s="134">
        <v>27.35</v>
      </c>
      <c r="E156" s="29"/>
      <c r="F156" s="137"/>
    </row>
    <row r="157" spans="1:6" s="64" customFormat="1" ht="15">
      <c r="A157" s="39"/>
      <c r="B157" s="132" t="s">
        <v>111</v>
      </c>
      <c r="C157" s="133" t="s">
        <v>61</v>
      </c>
      <c r="D157" s="134">
        <v>27.35</v>
      </c>
      <c r="E157" s="29"/>
      <c r="F157" s="137"/>
    </row>
    <row r="158" spans="1:6" s="64" customFormat="1" ht="15">
      <c r="A158" s="39"/>
      <c r="B158" s="132" t="s">
        <v>112</v>
      </c>
      <c r="C158" s="133" t="s">
        <v>61</v>
      </c>
      <c r="D158" s="134">
        <v>30.52</v>
      </c>
      <c r="E158" s="29"/>
      <c r="F158" s="137"/>
    </row>
    <row r="159" spans="1:6" s="64" customFormat="1" ht="15">
      <c r="A159" s="167"/>
      <c r="B159" s="185" t="s">
        <v>117</v>
      </c>
      <c r="C159" s="133" t="s">
        <v>61</v>
      </c>
      <c r="D159" s="170">
        <v>37.869999999999997</v>
      </c>
      <c r="E159" s="29"/>
      <c r="F159" s="137"/>
    </row>
    <row r="160" spans="1:6" s="64" customFormat="1" ht="15">
      <c r="A160" s="39"/>
      <c r="B160" s="132" t="s">
        <v>118</v>
      </c>
      <c r="C160" s="133" t="s">
        <v>61</v>
      </c>
      <c r="D160" s="134">
        <v>37.869999999999997</v>
      </c>
      <c r="E160" s="29"/>
      <c r="F160" s="137"/>
    </row>
    <row r="161" spans="1:6" s="64" customFormat="1" ht="15">
      <c r="A161" s="39"/>
      <c r="B161" s="132" t="s">
        <v>115</v>
      </c>
      <c r="C161" s="133" t="s">
        <v>61</v>
      </c>
      <c r="D161" s="134">
        <v>30.44</v>
      </c>
      <c r="E161" s="29"/>
      <c r="F161" s="137"/>
    </row>
    <row r="162" spans="1:6" s="64" customFormat="1" ht="15">
      <c r="A162" s="39"/>
      <c r="B162" s="132" t="s">
        <v>116</v>
      </c>
      <c r="C162" s="133" t="s">
        <v>61</v>
      </c>
      <c r="D162" s="134">
        <v>31.77</v>
      </c>
      <c r="E162" s="29"/>
      <c r="F162" s="137"/>
    </row>
    <row r="163" spans="1:6" s="64" customFormat="1" ht="15">
      <c r="A163" s="39"/>
      <c r="B163" s="132" t="s">
        <v>119</v>
      </c>
      <c r="C163" s="133" t="s">
        <v>61</v>
      </c>
      <c r="D163" s="134">
        <v>27.56</v>
      </c>
      <c r="E163" s="29"/>
      <c r="F163" s="137"/>
    </row>
    <row r="164" spans="1:6" s="64" customFormat="1" ht="15">
      <c r="A164" s="39"/>
      <c r="B164" s="132" t="s">
        <v>120</v>
      </c>
      <c r="C164" s="133" t="s">
        <v>61</v>
      </c>
      <c r="D164" s="134">
        <v>26.36</v>
      </c>
      <c r="E164" s="29"/>
      <c r="F164" s="137"/>
    </row>
    <row r="165" spans="1:6" s="64" customFormat="1" ht="15">
      <c r="A165" s="39"/>
      <c r="B165" s="132" t="s">
        <v>105</v>
      </c>
      <c r="C165" s="133" t="s">
        <v>61</v>
      </c>
      <c r="D165" s="134">
        <v>30.82</v>
      </c>
      <c r="E165" s="29"/>
      <c r="F165" s="137"/>
    </row>
    <row r="166" spans="1:6" s="64" customFormat="1" ht="15">
      <c r="A166" s="39"/>
      <c r="B166" s="132" t="s">
        <v>106</v>
      </c>
      <c r="C166" s="133" t="s">
        <v>61</v>
      </c>
      <c r="D166" s="134">
        <v>27.3</v>
      </c>
      <c r="E166" s="29"/>
      <c r="F166" s="137"/>
    </row>
    <row r="167" spans="1:6" s="64" customFormat="1" ht="15">
      <c r="A167" s="39"/>
      <c r="B167" s="132" t="s">
        <v>103</v>
      </c>
      <c r="C167" s="133" t="s">
        <v>61</v>
      </c>
      <c r="D167" s="134">
        <v>37.83</v>
      </c>
      <c r="E167" s="29"/>
      <c r="F167" s="137"/>
    </row>
    <row r="168" spans="1:6" s="64" customFormat="1" ht="15">
      <c r="A168" s="39"/>
      <c r="B168" s="132" t="s">
        <v>104</v>
      </c>
      <c r="C168" s="133" t="s">
        <v>61</v>
      </c>
      <c r="D168" s="134">
        <v>37.909999999999997</v>
      </c>
      <c r="E168" s="29"/>
      <c r="F168" s="137"/>
    </row>
    <row r="169" spans="1:6" s="64" customFormat="1" ht="12" customHeight="1">
      <c r="A169" s="140"/>
      <c r="B169" s="148"/>
      <c r="C169" s="133"/>
      <c r="D169" s="143"/>
      <c r="E169" s="139"/>
      <c r="F169" s="137"/>
    </row>
    <row r="170" spans="1:6" s="64" customFormat="1" ht="15.75" customHeight="1">
      <c r="A170" s="140"/>
      <c r="B170" s="154" t="s">
        <v>146</v>
      </c>
      <c r="C170" s="133"/>
      <c r="D170" s="143"/>
      <c r="E170" s="139"/>
      <c r="F170" s="137"/>
    </row>
    <row r="171" spans="1:6" s="64" customFormat="1" ht="12" customHeight="1">
      <c r="A171" s="140"/>
      <c r="B171" s="138" t="s">
        <v>126</v>
      </c>
      <c r="C171" s="133"/>
      <c r="D171" s="143"/>
      <c r="E171" s="139"/>
      <c r="F171" s="137"/>
    </row>
    <row r="172" spans="1:6" s="64" customFormat="1" ht="24">
      <c r="A172" s="39"/>
      <c r="B172" s="132" t="s">
        <v>147</v>
      </c>
      <c r="C172" s="133" t="s">
        <v>41</v>
      </c>
      <c r="D172" s="143">
        <f>17.1+(7.01*0.2)</f>
        <v>18.502000000000002</v>
      </c>
      <c r="E172" s="29"/>
      <c r="F172" s="137"/>
    </row>
    <row r="173" spans="1:6" s="64" customFormat="1" ht="15" customHeight="1">
      <c r="A173" s="140"/>
      <c r="B173" s="154" t="s">
        <v>148</v>
      </c>
      <c r="C173" s="133"/>
      <c r="D173" s="143"/>
      <c r="E173" s="139"/>
      <c r="F173" s="137"/>
    </row>
    <row r="174" spans="1:6" s="64" customFormat="1" ht="12" customHeight="1">
      <c r="A174" s="140"/>
      <c r="B174" s="138" t="s">
        <v>126</v>
      </c>
      <c r="C174" s="133"/>
      <c r="D174" s="143"/>
      <c r="E174" s="139"/>
      <c r="F174" s="137"/>
    </row>
    <row r="175" spans="1:6" s="64" customFormat="1" ht="12" customHeight="1">
      <c r="A175" s="39"/>
      <c r="B175" s="148" t="s">
        <v>149</v>
      </c>
      <c r="C175" s="133" t="s">
        <v>41</v>
      </c>
      <c r="D175" s="143">
        <f>((3.82+(2.1*0.3)+(1.64*0.2))+(16.81+((1.87*0.4)*2)))</f>
        <v>23.083999999999996</v>
      </c>
      <c r="E175" s="29"/>
      <c r="F175" s="137"/>
    </row>
    <row r="176" spans="1:6" s="64" customFormat="1" ht="12" customHeight="1" thickBot="1">
      <c r="A176" s="188"/>
      <c r="B176" s="148"/>
      <c r="C176" s="189"/>
      <c r="D176" s="143"/>
      <c r="E176" s="156"/>
      <c r="F176" s="137"/>
    </row>
    <row r="177" spans="1:10" s="46" customFormat="1" ht="27" customHeight="1" thickTop="1" thickBot="1">
      <c r="A177" s="190"/>
      <c r="B177" s="191" t="s">
        <v>33</v>
      </c>
      <c r="C177" s="507" t="str">
        <f>+B108</f>
        <v>FAUX PLAFOND</v>
      </c>
      <c r="D177" s="508"/>
      <c r="E177" s="509"/>
      <c r="F177" s="152"/>
    </row>
    <row r="178" spans="1:10" s="46" customFormat="1" ht="13.5" thickTop="1" thickBot="1">
      <c r="A178" s="190"/>
      <c r="B178" s="168"/>
      <c r="C178" s="192"/>
      <c r="D178" s="192"/>
      <c r="E178" s="192"/>
      <c r="F178" s="193"/>
    </row>
    <row r="179" spans="1:10" s="46" customFormat="1" ht="30" customHeight="1" thickTop="1" thickBot="1">
      <c r="A179" s="498" t="s">
        <v>63</v>
      </c>
      <c r="B179" s="499"/>
      <c r="C179" s="499"/>
      <c r="D179" s="499"/>
      <c r="E179" s="500"/>
      <c r="F179" s="194"/>
    </row>
    <row r="180" spans="1:10" ht="12.75" thickTop="1">
      <c r="A180" s="103"/>
      <c r="B180" s="104"/>
      <c r="C180" s="14"/>
      <c r="D180" s="47"/>
      <c r="E180" s="105"/>
      <c r="F180" s="195"/>
    </row>
    <row r="181" spans="1:10">
      <c r="A181" s="103"/>
      <c r="B181" s="104"/>
      <c r="C181" s="14"/>
      <c r="D181" s="47"/>
      <c r="E181" s="105"/>
      <c r="F181" s="195"/>
    </row>
    <row r="182" spans="1:10">
      <c r="A182" s="107" t="s">
        <v>64</v>
      </c>
      <c r="B182" s="104"/>
      <c r="C182" s="14"/>
      <c r="D182" s="47"/>
      <c r="E182" s="105"/>
      <c r="F182" s="195"/>
    </row>
    <row r="183" spans="1:10" ht="15">
      <c r="A183" s="103"/>
      <c r="B183" s="104"/>
      <c r="C183" s="14"/>
      <c r="D183" s="47"/>
      <c r="E183" s="196"/>
      <c r="F183" s="195"/>
    </row>
    <row r="184" spans="1:10" ht="15">
      <c r="A184" s="103"/>
      <c r="B184" s="104"/>
      <c r="C184" s="14"/>
      <c r="D184" s="47"/>
      <c r="E184" s="196" t="s">
        <v>33</v>
      </c>
      <c r="F184" s="195"/>
    </row>
    <row r="185" spans="1:10" customFormat="1" ht="15" customHeight="1">
      <c r="A185" s="52"/>
      <c r="B185" s="52"/>
      <c r="C185" s="1"/>
      <c r="D185" s="47"/>
      <c r="E185" s="105"/>
      <c r="F185" s="195"/>
    </row>
    <row r="186" spans="1:10" customFormat="1" ht="15">
      <c r="A186" s="52"/>
      <c r="B186" s="52"/>
      <c r="C186" s="1"/>
      <c r="D186" s="111" t="s">
        <v>33</v>
      </c>
      <c r="E186" s="113"/>
      <c r="F186" s="195"/>
    </row>
    <row r="187" spans="1:10">
      <c r="A187" s="103"/>
      <c r="B187" s="52"/>
      <c r="C187" s="14"/>
      <c r="D187" s="47"/>
      <c r="E187" s="105"/>
      <c r="F187" s="195"/>
    </row>
    <row r="188" spans="1:10">
      <c r="A188" s="103"/>
      <c r="B188" s="52"/>
      <c r="C188" s="14"/>
      <c r="D188" s="47"/>
      <c r="E188" s="105"/>
      <c r="F188" s="195"/>
    </row>
    <row r="189" spans="1:10">
      <c r="A189" s="103"/>
      <c r="B189" s="52"/>
      <c r="C189" s="14"/>
      <c r="D189" s="47"/>
      <c r="E189" s="105"/>
      <c r="F189" s="195"/>
    </row>
    <row r="190" spans="1:10">
      <c r="A190" s="103"/>
      <c r="B190" s="104"/>
      <c r="C190" s="14"/>
      <c r="D190" s="47"/>
      <c r="E190" s="105"/>
      <c r="F190" s="195"/>
    </row>
    <row r="191" spans="1:10">
      <c r="A191" s="103"/>
      <c r="B191" s="104"/>
      <c r="C191" s="14"/>
      <c r="D191" s="47"/>
      <c r="E191" s="105"/>
      <c r="F191" s="195" t="s">
        <v>33</v>
      </c>
      <c r="J191" s="14" t="s">
        <v>33</v>
      </c>
    </row>
    <row r="192" spans="1:10">
      <c r="A192" s="103"/>
      <c r="B192" s="104" t="s">
        <v>33</v>
      </c>
      <c r="C192" s="14"/>
      <c r="D192" s="47"/>
      <c r="E192" s="105"/>
      <c r="F192" s="195"/>
    </row>
    <row r="193" spans="1:6">
      <c r="A193" s="103"/>
      <c r="B193" s="104"/>
      <c r="C193" s="14"/>
      <c r="D193" s="47"/>
      <c r="E193" s="105"/>
      <c r="F193" s="195"/>
    </row>
    <row r="194" spans="1:6">
      <c r="A194" s="103"/>
      <c r="B194" s="104"/>
      <c r="C194" s="14"/>
      <c r="D194" s="47"/>
      <c r="E194" s="105"/>
      <c r="F194" s="195"/>
    </row>
    <row r="195" spans="1:6">
      <c r="A195" s="103"/>
      <c r="B195" s="104"/>
      <c r="C195" s="14"/>
      <c r="D195" s="47"/>
      <c r="E195" s="105"/>
      <c r="F195" s="195"/>
    </row>
    <row r="196" spans="1:6">
      <c r="A196" s="103"/>
      <c r="B196" s="104"/>
      <c r="C196" s="14"/>
      <c r="D196" s="47"/>
      <c r="E196" s="105"/>
      <c r="F196" s="195"/>
    </row>
    <row r="197" spans="1:6">
      <c r="A197" s="103"/>
      <c r="B197" s="104"/>
      <c r="C197" s="14"/>
      <c r="D197" s="47"/>
      <c r="E197" s="105"/>
      <c r="F197" s="195"/>
    </row>
    <row r="198" spans="1:6">
      <c r="A198" s="103"/>
      <c r="B198" s="104"/>
      <c r="C198" s="14"/>
      <c r="D198" s="47"/>
      <c r="E198" s="105"/>
      <c r="F198" s="195"/>
    </row>
    <row r="199" spans="1:6">
      <c r="A199" s="103"/>
      <c r="B199" s="104"/>
      <c r="C199" s="14"/>
      <c r="D199" s="47"/>
      <c r="E199" s="105"/>
      <c r="F199" s="195"/>
    </row>
    <row r="200" spans="1:6">
      <c r="A200" s="103"/>
      <c r="B200" s="104"/>
      <c r="C200" s="14"/>
      <c r="D200" s="47"/>
      <c r="E200" s="105"/>
      <c r="F200" s="195"/>
    </row>
    <row r="201" spans="1:6">
      <c r="A201" s="103"/>
      <c r="B201" s="104"/>
      <c r="C201" s="14"/>
      <c r="D201" s="47"/>
      <c r="E201" s="105"/>
      <c r="F201" s="195"/>
    </row>
    <row r="202" spans="1:6">
      <c r="A202" s="103"/>
      <c r="B202" s="104"/>
      <c r="C202" s="14"/>
      <c r="D202" s="47"/>
      <c r="E202" s="105"/>
      <c r="F202" s="195"/>
    </row>
    <row r="203" spans="1:6">
      <c r="A203" s="103"/>
      <c r="B203" s="104"/>
      <c r="C203" s="14"/>
      <c r="D203" s="47"/>
      <c r="E203" s="105"/>
      <c r="F203" s="195"/>
    </row>
    <row r="204" spans="1:6">
      <c r="A204" s="103"/>
      <c r="B204" s="104"/>
      <c r="C204" s="14"/>
      <c r="D204" s="47"/>
      <c r="E204" s="105"/>
      <c r="F204" s="195"/>
    </row>
    <row r="205" spans="1:6">
      <c r="A205" s="103"/>
      <c r="B205" s="104"/>
      <c r="C205" s="14"/>
      <c r="D205" s="47"/>
      <c r="E205" s="105"/>
      <c r="F205" s="195"/>
    </row>
    <row r="206" spans="1:6">
      <c r="A206" s="103"/>
      <c r="B206" s="104"/>
      <c r="C206" s="14"/>
      <c r="D206" s="47"/>
      <c r="E206" s="105"/>
      <c r="F206" s="195"/>
    </row>
    <row r="207" spans="1:6">
      <c r="A207" s="103"/>
      <c r="B207" s="104"/>
      <c r="C207" s="14"/>
      <c r="D207" s="47"/>
      <c r="E207" s="105"/>
      <c r="F207" s="195"/>
    </row>
    <row r="208" spans="1:6">
      <c r="A208" s="103"/>
      <c r="B208" s="104"/>
      <c r="C208" s="14"/>
      <c r="D208" s="47"/>
      <c r="E208" s="105"/>
      <c r="F208" s="195"/>
    </row>
    <row r="209" spans="1:6">
      <c r="A209" s="103"/>
      <c r="B209" s="104"/>
      <c r="C209" s="14"/>
      <c r="D209" s="47"/>
      <c r="E209" s="105"/>
      <c r="F209" s="195"/>
    </row>
    <row r="210" spans="1:6">
      <c r="A210" s="103"/>
      <c r="B210" s="104"/>
      <c r="C210" s="14"/>
      <c r="D210" s="47"/>
      <c r="E210" s="105"/>
      <c r="F210" s="195"/>
    </row>
    <row r="211" spans="1:6">
      <c r="A211" s="103"/>
      <c r="B211" s="104"/>
      <c r="C211" s="14"/>
      <c r="D211" s="47"/>
      <c r="E211" s="105"/>
      <c r="F211" s="195"/>
    </row>
  </sheetData>
  <mergeCells count="13">
    <mergeCell ref="E9:F9"/>
    <mergeCell ref="A1:F1"/>
    <mergeCell ref="A2:F2"/>
    <mergeCell ref="A3:F3"/>
    <mergeCell ref="A4:F4"/>
    <mergeCell ref="E8:F8"/>
    <mergeCell ref="A179:E179"/>
    <mergeCell ref="E11:F11"/>
    <mergeCell ref="C32:E32"/>
    <mergeCell ref="B34:B38"/>
    <mergeCell ref="C45:E45"/>
    <mergeCell ref="C106:E106"/>
    <mergeCell ref="C177:E177"/>
  </mergeCells>
  <conditionalFormatting sqref="E10">
    <cfRule type="cellIs" dxfId="83" priority="7" operator="equal">
      <formula>0</formula>
    </cfRule>
  </conditionalFormatting>
  <conditionalFormatting sqref="E42:E43">
    <cfRule type="cellIs" dxfId="82" priority="3" operator="equal">
      <formula>0</formula>
    </cfRule>
  </conditionalFormatting>
  <conditionalFormatting sqref="E50:E80">
    <cfRule type="cellIs" dxfId="81" priority="1" operator="equal">
      <formula>0</formula>
    </cfRule>
  </conditionalFormatting>
  <conditionalFormatting sqref="E82:E104">
    <cfRule type="cellIs" dxfId="80" priority="2" operator="equal">
      <formula>0</formula>
    </cfRule>
  </conditionalFormatting>
  <conditionalFormatting sqref="E111:E121">
    <cfRule type="cellIs" dxfId="79" priority="5" operator="equal">
      <formula>0</formula>
    </cfRule>
  </conditionalFormatting>
  <conditionalFormatting sqref="E123:E128">
    <cfRule type="cellIs" dxfId="78" priority="4" operator="equal">
      <formula>0</formula>
    </cfRule>
  </conditionalFormatting>
  <conditionalFormatting sqref="E132:E137 E139:E140 E144:E149 E153:E168 E172 E175">
    <cfRule type="cellIs" dxfId="77" priority="6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52" max="5" man="1"/>
    <brk id="100" max="5" man="1"/>
    <brk id="145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99F7-73BE-421A-A3AB-339CE2EB8761}">
  <sheetPr codeName="Feuil87">
    <pageSetUpPr fitToPage="1"/>
  </sheetPr>
  <dimension ref="A1:F237"/>
  <sheetViews>
    <sheetView topLeftCell="A4" zoomScale="115" zoomScaleNormal="115" zoomScaleSheetLayoutView="80" workbookViewId="0">
      <selection activeCell="I22" sqref="I22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582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53"/>
      <c r="E6" s="54"/>
      <c r="F6" s="55"/>
    </row>
    <row r="7" spans="1:6" s="21" customFormat="1" ht="20.100000000000001" customHeight="1">
      <c r="A7" s="15">
        <v>10.1</v>
      </c>
      <c r="B7" s="408" t="s">
        <v>10</v>
      </c>
      <c r="C7" s="17"/>
      <c r="D7" s="18"/>
      <c r="E7" s="320"/>
      <c r="F7" s="321"/>
    </row>
    <row r="8" spans="1:6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" customHeight="1">
      <c r="A12" s="304"/>
      <c r="B12" s="23"/>
      <c r="C12" s="24"/>
      <c r="D12" s="370"/>
      <c r="E12" s="29"/>
      <c r="F12" s="26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508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509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510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31</v>
      </c>
      <c r="C25" s="41"/>
      <c r="D25" s="25"/>
      <c r="E25" s="42"/>
      <c r="F25" s="43"/>
    </row>
    <row r="26" spans="1:6" customFormat="1" ht="12" customHeight="1">
      <c r="A26" s="39"/>
      <c r="B26" s="40" t="s">
        <v>32</v>
      </c>
      <c r="C26" s="41"/>
      <c r="D26" s="25"/>
      <c r="E26" s="42"/>
      <c r="F26" s="43"/>
    </row>
    <row r="27" spans="1:6" customFormat="1" ht="12" customHeight="1">
      <c r="A27" s="39"/>
      <c r="B27" s="40" t="s">
        <v>34</v>
      </c>
      <c r="C27" s="41"/>
      <c r="D27" s="25"/>
      <c r="E27" s="42"/>
      <c r="F27" s="43"/>
    </row>
    <row r="28" spans="1:6" customFormat="1" ht="12" customHeight="1">
      <c r="A28" s="39"/>
      <c r="B28" s="40" t="s">
        <v>35</v>
      </c>
      <c r="C28" s="41"/>
      <c r="D28" s="25"/>
      <c r="E28" s="42"/>
      <c r="F28" s="43"/>
    </row>
    <row r="29" spans="1:6" ht="12" customHeight="1" thickBot="1">
      <c r="A29" s="22"/>
      <c r="B29" s="372"/>
      <c r="C29" s="310"/>
      <c r="D29" s="77"/>
      <c r="E29" s="78"/>
      <c r="F29" s="412"/>
    </row>
    <row r="30" spans="1:6" ht="27" customHeight="1" thickTop="1" thickBot="1">
      <c r="A30" s="22"/>
      <c r="B30" s="50"/>
      <c r="C30" s="474" t="str">
        <f>B7</f>
        <v>TRAVAUX PRELIMINAIRES</v>
      </c>
      <c r="D30" s="475"/>
      <c r="E30" s="476"/>
      <c r="F30" s="51"/>
    </row>
    <row r="31" spans="1:6" s="1" customFormat="1" ht="12" customHeight="1" thickTop="1" thickBot="1">
      <c r="A31" s="39"/>
      <c r="B31" s="52"/>
      <c r="C31" s="44"/>
      <c r="D31" s="53"/>
      <c r="E31" s="54"/>
      <c r="F31" s="55"/>
    </row>
    <row r="32" spans="1:6" s="1" customFormat="1" ht="12" customHeight="1" thickTop="1">
      <c r="A32" s="39"/>
      <c r="B32" s="483" t="s">
        <v>37</v>
      </c>
      <c r="C32" s="44"/>
      <c r="D32" s="32"/>
      <c r="E32" s="29"/>
      <c r="F32" s="26"/>
    </row>
    <row r="33" spans="1:6" s="1" customFormat="1" ht="12" customHeight="1">
      <c r="A33" s="39"/>
      <c r="B33" s="484"/>
      <c r="C33" s="44"/>
      <c r="D33" s="32"/>
      <c r="E33" s="29"/>
      <c r="F33" s="26"/>
    </row>
    <row r="34" spans="1:6" s="1" customFormat="1" ht="12" customHeight="1">
      <c r="A34" s="39"/>
      <c r="B34" s="484"/>
      <c r="C34" s="44"/>
      <c r="D34" s="32"/>
      <c r="E34" s="29"/>
      <c r="F34" s="26"/>
    </row>
    <row r="35" spans="1:6" s="1" customFormat="1" ht="12" customHeight="1">
      <c r="A35" s="39" t="s">
        <v>33</v>
      </c>
      <c r="B35" s="484"/>
      <c r="C35" s="44"/>
      <c r="D35" s="32"/>
      <c r="E35" s="29"/>
      <c r="F35" s="26"/>
    </row>
    <row r="36" spans="1:6" s="1" customFormat="1" ht="12" customHeight="1" thickBot="1">
      <c r="A36" s="39"/>
      <c r="B36" s="485"/>
      <c r="C36" s="44"/>
      <c r="D36" s="32"/>
      <c r="E36" s="29"/>
      <c r="F36" s="26"/>
    </row>
    <row r="37" spans="1:6" s="1" customFormat="1" ht="12" customHeight="1" thickTop="1">
      <c r="A37" s="39"/>
      <c r="B37" s="56"/>
      <c r="C37" s="44"/>
      <c r="D37" s="32"/>
      <c r="E37" s="57"/>
      <c r="F37" s="30"/>
    </row>
    <row r="38" spans="1:6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20"/>
      <c r="F38" s="371"/>
    </row>
    <row r="39" spans="1:6" ht="15" customHeight="1">
      <c r="A39" s="22">
        <f>A38+0.001</f>
        <v>10.200999999999999</v>
      </c>
      <c r="B39" s="61" t="s">
        <v>39</v>
      </c>
      <c r="C39" s="24"/>
      <c r="D39" s="313"/>
      <c r="E39" s="57"/>
      <c r="F39" s="30"/>
    </row>
    <row r="40" spans="1:6" s="64" customFormat="1" ht="12" customHeight="1">
      <c r="A40" s="445"/>
      <c r="B40" s="63" t="s">
        <v>583</v>
      </c>
      <c r="C40" s="24" t="s">
        <v>41</v>
      </c>
      <c r="D40" s="32">
        <v>124.21</v>
      </c>
      <c r="E40" s="29"/>
      <c r="F40" s="30"/>
    </row>
    <row r="41" spans="1:6" s="252" customFormat="1" ht="12" customHeight="1" thickBot="1">
      <c r="A41" s="446"/>
      <c r="B41" s="66"/>
      <c r="C41" s="447"/>
      <c r="D41" s="448"/>
      <c r="E41" s="449"/>
      <c r="F41" s="450"/>
    </row>
    <row r="42" spans="1:6" ht="27" customHeight="1" thickTop="1" thickBot="1">
      <c r="A42" s="22"/>
      <c r="B42" s="375"/>
      <c r="C42" s="474" t="str">
        <f>+B38</f>
        <v>DEMOLITION - DEPOSE</v>
      </c>
      <c r="D42" s="475"/>
      <c r="E42" s="476"/>
      <c r="F42" s="51"/>
    </row>
    <row r="43" spans="1:6" ht="12" customHeight="1" thickTop="1">
      <c r="A43" s="22"/>
      <c r="B43" s="68"/>
      <c r="C43" s="24"/>
      <c r="D43" s="53"/>
      <c r="E43" s="54"/>
      <c r="F43" s="26"/>
    </row>
    <row r="44" spans="1:6" s="21" customFormat="1" ht="20.100000000000001" customHeight="1">
      <c r="A44" s="15">
        <f>A38+0.1</f>
        <v>10.299999999999999</v>
      </c>
      <c r="B44" s="58" t="s">
        <v>42</v>
      </c>
      <c r="C44" s="17"/>
      <c r="D44" s="18"/>
      <c r="E44" s="369"/>
      <c r="F44" s="60"/>
    </row>
    <row r="45" spans="1:6" ht="15" customHeight="1">
      <c r="A45" s="22">
        <f>A44+0.001</f>
        <v>10.300999999999998</v>
      </c>
      <c r="B45" s="61" t="s">
        <v>43</v>
      </c>
      <c r="C45" s="69"/>
      <c r="D45" s="32"/>
      <c r="E45" s="57"/>
      <c r="F45" s="71"/>
    </row>
    <row r="46" spans="1:6" s="64" customFormat="1" ht="12" customHeight="1">
      <c r="A46" s="39"/>
      <c r="B46" s="63" t="s">
        <v>419</v>
      </c>
      <c r="C46" s="312" t="s">
        <v>41</v>
      </c>
      <c r="D46" s="32">
        <f>(10.69*2.7)-((1.4*2.1)+(3*0.9*2.1)+(1.5*2.1))</f>
        <v>17.102999999999998</v>
      </c>
      <c r="E46" s="29"/>
      <c r="F46" s="371"/>
    </row>
    <row r="47" spans="1:6" s="64" customFormat="1" ht="12" customHeight="1">
      <c r="A47" s="39"/>
      <c r="B47" s="63" t="s">
        <v>420</v>
      </c>
      <c r="C47" s="312" t="s">
        <v>41</v>
      </c>
      <c r="D47" s="32">
        <f>(25.54*2.7)-((2.4*2.75)+(1.4*2.1))</f>
        <v>59.417999999999999</v>
      </c>
      <c r="E47" s="29"/>
      <c r="F47" s="371"/>
    </row>
    <row r="48" spans="1:6" s="64" customFormat="1" ht="12" customHeight="1">
      <c r="A48" s="39"/>
      <c r="B48" s="63" t="s">
        <v>421</v>
      </c>
      <c r="C48" s="312" t="s">
        <v>41</v>
      </c>
      <c r="D48" s="32">
        <f>(13.45*2.7)-((1.5*1.7)+(1.2*1.7)+(0.9*2.1))</f>
        <v>29.834999999999997</v>
      </c>
      <c r="E48" s="29"/>
      <c r="F48" s="371"/>
    </row>
    <row r="49" spans="1:6" s="64" customFormat="1" ht="12" customHeight="1">
      <c r="A49" s="39"/>
      <c r="B49" s="63" t="s">
        <v>422</v>
      </c>
      <c r="C49" s="312" t="s">
        <v>41</v>
      </c>
      <c r="D49" s="32">
        <f>(17.06*2.7)-(6*0.9*2.1)</f>
        <v>34.721999999999994</v>
      </c>
      <c r="E49" s="29"/>
      <c r="F49" s="371"/>
    </row>
    <row r="50" spans="1:6" s="64" customFormat="1" ht="12" customHeight="1">
      <c r="A50" s="39"/>
      <c r="B50" s="63" t="s">
        <v>423</v>
      </c>
      <c r="C50" s="312" t="s">
        <v>41</v>
      </c>
      <c r="D50" s="32">
        <f>(5.3*2.7)-((0.9*2.1))</f>
        <v>12.42</v>
      </c>
      <c r="E50" s="29"/>
      <c r="F50" s="371"/>
    </row>
    <row r="51" spans="1:6" s="64" customFormat="1" ht="12" customHeight="1">
      <c r="A51" s="39"/>
      <c r="B51" s="63" t="s">
        <v>424</v>
      </c>
      <c r="C51" s="312" t="s">
        <v>41</v>
      </c>
      <c r="D51" s="32">
        <f>(15.52*2.7)-((2*0.9*2.1)+(1.5*2.1)+(2*1.8*2.75))</f>
        <v>25.074000000000002</v>
      </c>
      <c r="E51" s="29"/>
      <c r="F51" s="371"/>
    </row>
    <row r="52" spans="1:6" s="64" customFormat="1" ht="12" customHeight="1">
      <c r="A52" s="39"/>
      <c r="B52" s="63" t="s">
        <v>425</v>
      </c>
      <c r="C52" s="312" t="s">
        <v>41</v>
      </c>
      <c r="D52" s="32">
        <f>(4.72*2.7)-((1.5*2.1))</f>
        <v>9.5939999999999994</v>
      </c>
      <c r="E52" s="29"/>
      <c r="F52" s="371"/>
    </row>
    <row r="53" spans="1:6" s="64" customFormat="1" ht="12" customHeight="1" thickBot="1">
      <c r="A53" s="163"/>
      <c r="B53" s="75" t="s">
        <v>584</v>
      </c>
      <c r="C53" s="376" t="s">
        <v>41</v>
      </c>
      <c r="D53" s="77">
        <f>(9.42*2.7)-(0.9*2.1)</f>
        <v>23.544</v>
      </c>
      <c r="E53" s="78"/>
      <c r="F53" s="412" t="s">
        <v>62</v>
      </c>
    </row>
    <row r="54" spans="1:6" s="64" customFormat="1" ht="12" customHeight="1" thickTop="1">
      <c r="A54" s="167"/>
      <c r="B54" s="81" t="s">
        <v>426</v>
      </c>
      <c r="C54" s="377" t="s">
        <v>41</v>
      </c>
      <c r="D54" s="11">
        <f>(13.54*2.7)-((1.5*2.1)+(2*0.9*2.1)+(1.8*2.75))</f>
        <v>24.677999999999997</v>
      </c>
      <c r="E54" s="12"/>
      <c r="F54" s="451"/>
    </row>
    <row r="55" spans="1:6" s="64" customFormat="1" ht="12" customHeight="1">
      <c r="A55" s="39"/>
      <c r="B55" s="63" t="s">
        <v>427</v>
      </c>
      <c r="C55" s="312" t="s">
        <v>41</v>
      </c>
      <c r="D55" s="32">
        <f>(4.98*2.7)-((1.5*2.1))</f>
        <v>10.296000000000001</v>
      </c>
      <c r="E55" s="29"/>
      <c r="F55" s="371"/>
    </row>
    <row r="56" spans="1:6" s="64" customFormat="1" ht="12" customHeight="1">
      <c r="A56" s="39"/>
      <c r="B56" s="63" t="s">
        <v>585</v>
      </c>
      <c r="C56" s="312" t="s">
        <v>41</v>
      </c>
      <c r="D56" s="32">
        <f>(9.16*2.7)-((1.5*1.7)+(0.9*2.1))</f>
        <v>20.292000000000002</v>
      </c>
      <c r="E56" s="29"/>
      <c r="F56" s="26" t="s">
        <v>62</v>
      </c>
    </row>
    <row r="57" spans="1:6" s="64" customFormat="1" ht="12" customHeight="1">
      <c r="A57" s="39"/>
      <c r="B57" s="63" t="s">
        <v>428</v>
      </c>
      <c r="C57" s="312" t="s">
        <v>41</v>
      </c>
      <c r="D57" s="32">
        <f>(15.06*2.7)-((2*0.9*2.1)+(1.8*2.75))</f>
        <v>31.932000000000006</v>
      </c>
      <c r="E57" s="29"/>
      <c r="F57" s="371"/>
    </row>
    <row r="58" spans="1:6" s="64" customFormat="1" ht="12" customHeight="1">
      <c r="A58" s="39"/>
      <c r="B58" s="63" t="s">
        <v>429</v>
      </c>
      <c r="C58" s="312" t="s">
        <v>41</v>
      </c>
      <c r="D58" s="32">
        <f>(3.64*2.7)-((0.9*2.1))</f>
        <v>7.9380000000000006</v>
      </c>
      <c r="E58" s="29"/>
      <c r="F58" s="371"/>
    </row>
    <row r="59" spans="1:6" s="64" customFormat="1" ht="12" customHeight="1">
      <c r="A59" s="39"/>
      <c r="B59" s="63" t="s">
        <v>586</v>
      </c>
      <c r="C59" s="312" t="s">
        <v>41</v>
      </c>
      <c r="D59" s="32">
        <f>(11.91*2.7)-((1.5*1.7)+(0.9*2.1))</f>
        <v>27.717000000000006</v>
      </c>
      <c r="E59" s="29"/>
      <c r="F59" s="26" t="s">
        <v>62</v>
      </c>
    </row>
    <row r="60" spans="1:6" s="64" customFormat="1" ht="12" customHeight="1">
      <c r="A60" s="39"/>
      <c r="B60" s="63" t="s">
        <v>430</v>
      </c>
      <c r="C60" s="312" t="s">
        <v>41</v>
      </c>
      <c r="D60" s="32">
        <f>(4.7*2.7)-((1.5*2.1))</f>
        <v>9.5400000000000009</v>
      </c>
      <c r="E60" s="29"/>
      <c r="F60" s="371"/>
    </row>
    <row r="61" spans="1:6" s="64" customFormat="1" ht="12" customHeight="1" thickBot="1">
      <c r="A61" s="445"/>
      <c r="B61" s="63"/>
      <c r="C61" s="24"/>
      <c r="D61" s="32"/>
      <c r="E61" s="57"/>
      <c r="F61" s="371"/>
    </row>
    <row r="62" spans="1:6" ht="27" customHeight="1" thickTop="1" thickBot="1">
      <c r="A62" s="22"/>
      <c r="B62" s="66"/>
      <c r="C62" s="474" t="s">
        <v>52</v>
      </c>
      <c r="D62" s="475"/>
      <c r="E62" s="476"/>
      <c r="F62" s="51"/>
    </row>
    <row r="63" spans="1:6" ht="12.75" thickTop="1">
      <c r="A63" s="22"/>
      <c r="B63" s="66"/>
      <c r="C63" s="24"/>
      <c r="D63" s="378"/>
      <c r="E63" s="367"/>
      <c r="F63" s="379"/>
    </row>
    <row r="64" spans="1:6" s="89" customFormat="1" ht="20.100000000000001" customHeight="1">
      <c r="A64" s="348">
        <f>A44+0.1</f>
        <v>10.399999999999999</v>
      </c>
      <c r="B64" s="58" t="s">
        <v>53</v>
      </c>
      <c r="C64" s="17"/>
      <c r="D64" s="18"/>
      <c r="E64" s="369"/>
      <c r="F64" s="60"/>
    </row>
    <row r="65" spans="1:6" s="46" customFormat="1" ht="24">
      <c r="A65" s="22"/>
      <c r="B65" s="61" t="s">
        <v>56</v>
      </c>
      <c r="C65" s="24"/>
      <c r="D65" s="32"/>
      <c r="E65" s="57"/>
      <c r="F65" s="30"/>
    </row>
    <row r="66" spans="1:6" s="64" customFormat="1" ht="12" customHeight="1">
      <c r="A66" s="445"/>
      <c r="B66" s="63" t="s">
        <v>432</v>
      </c>
      <c r="C66" s="24" t="s">
        <v>41</v>
      </c>
      <c r="D66" s="32">
        <v>1.57</v>
      </c>
      <c r="E66" s="29"/>
      <c r="F66" s="371"/>
    </row>
    <row r="67" spans="1:6" s="64" customFormat="1" ht="12" customHeight="1">
      <c r="A67" s="445"/>
      <c r="B67" s="63" t="s">
        <v>433</v>
      </c>
      <c r="C67" s="24" t="s">
        <v>41</v>
      </c>
      <c r="D67" s="32">
        <v>3.48</v>
      </c>
      <c r="E67" s="29"/>
      <c r="F67" s="371"/>
    </row>
    <row r="68" spans="1:6" s="64" customFormat="1" ht="12" customHeight="1">
      <c r="A68" s="445"/>
      <c r="B68" s="63" t="s">
        <v>434</v>
      </c>
      <c r="C68" s="24" t="s">
        <v>41</v>
      </c>
      <c r="D68" s="32">
        <v>3.23</v>
      </c>
      <c r="E68" s="29"/>
      <c r="F68" s="371"/>
    </row>
    <row r="69" spans="1:6" s="64" customFormat="1" ht="12" customHeight="1">
      <c r="A69" s="39"/>
      <c r="B69" s="63" t="s">
        <v>435</v>
      </c>
      <c r="C69" s="24" t="s">
        <v>41</v>
      </c>
      <c r="D69" s="32">
        <v>7.93</v>
      </c>
      <c r="E69" s="29"/>
      <c r="F69" s="371"/>
    </row>
    <row r="70" spans="1:6" s="64" customFormat="1" ht="12" customHeight="1">
      <c r="A70" s="301"/>
      <c r="B70" s="56" t="s">
        <v>33</v>
      </c>
      <c r="C70" s="44"/>
      <c r="D70" s="32"/>
      <c r="E70" s="369"/>
      <c r="F70" s="30"/>
    </row>
    <row r="71" spans="1:6" s="46" customFormat="1" ht="12.75">
      <c r="A71" s="22"/>
      <c r="B71" s="61" t="s">
        <v>587</v>
      </c>
      <c r="C71" s="24"/>
      <c r="D71" s="32"/>
      <c r="E71" s="369"/>
      <c r="F71" s="30"/>
    </row>
    <row r="72" spans="1:6" s="1" customFormat="1" ht="12" customHeight="1">
      <c r="A72" s="39"/>
      <c r="B72" s="63" t="s">
        <v>420</v>
      </c>
      <c r="C72" s="24" t="s">
        <v>41</v>
      </c>
      <c r="D72" s="32">
        <v>32.68</v>
      </c>
      <c r="E72" s="29"/>
      <c r="F72" s="371"/>
    </row>
    <row r="73" spans="1:6" s="64" customFormat="1" ht="12" customHeight="1">
      <c r="A73" s="39"/>
      <c r="B73" s="63"/>
      <c r="C73" s="24"/>
      <c r="D73" s="32"/>
      <c r="E73" s="369"/>
      <c r="F73" s="371"/>
    </row>
    <row r="74" spans="1:6" s="64" customFormat="1" ht="15" customHeight="1">
      <c r="A74" s="39"/>
      <c r="B74" s="380" t="s">
        <v>436</v>
      </c>
      <c r="C74" s="24"/>
      <c r="D74" s="32"/>
      <c r="E74" s="369"/>
      <c r="F74" s="371"/>
    </row>
    <row r="75" spans="1:6" s="64" customFormat="1" ht="12" customHeight="1">
      <c r="A75" s="39"/>
      <c r="B75" s="63" t="s">
        <v>437</v>
      </c>
      <c r="C75" s="24" t="s">
        <v>41</v>
      </c>
      <c r="D75" s="32">
        <v>6.25</v>
      </c>
      <c r="E75" s="29"/>
      <c r="F75" s="371"/>
    </row>
    <row r="76" spans="1:6" s="64" customFormat="1" ht="12" customHeight="1">
      <c r="A76" s="39"/>
      <c r="B76" s="63" t="s">
        <v>438</v>
      </c>
      <c r="C76" s="24" t="s">
        <v>41</v>
      </c>
      <c r="D76" s="32">
        <v>11.02</v>
      </c>
      <c r="E76" s="29"/>
      <c r="F76" s="371"/>
    </row>
    <row r="77" spans="1:6" s="64" customFormat="1" ht="12" customHeight="1">
      <c r="A77" s="39"/>
      <c r="B77" s="63" t="s">
        <v>439</v>
      </c>
      <c r="C77" s="24" t="s">
        <v>41</v>
      </c>
      <c r="D77" s="32">
        <v>7.53</v>
      </c>
      <c r="E77" s="29"/>
      <c r="F77" s="371"/>
    </row>
    <row r="78" spans="1:6" s="64" customFormat="1" ht="12" customHeight="1">
      <c r="A78" s="39"/>
      <c r="B78" s="63" t="s">
        <v>440</v>
      </c>
      <c r="C78" s="24" t="s">
        <v>41</v>
      </c>
      <c r="D78" s="32">
        <v>14.03</v>
      </c>
      <c r="E78" s="29"/>
      <c r="F78" s="371"/>
    </row>
    <row r="79" spans="1:6" s="64" customFormat="1" ht="12" customHeight="1">
      <c r="A79" s="39"/>
      <c r="B79" s="63" t="s">
        <v>441</v>
      </c>
      <c r="C79" s="24" t="s">
        <v>41</v>
      </c>
      <c r="D79" s="32">
        <v>1.05</v>
      </c>
      <c r="E79" s="29"/>
      <c r="F79" s="371"/>
    </row>
    <row r="80" spans="1:6" s="64" customFormat="1" ht="12" customHeight="1" thickBot="1">
      <c r="A80" s="163"/>
      <c r="B80" s="75" t="s">
        <v>442</v>
      </c>
      <c r="C80" s="83" t="s">
        <v>41</v>
      </c>
      <c r="D80" s="77">
        <v>11.31</v>
      </c>
      <c r="E80" s="78"/>
      <c r="F80" s="452"/>
    </row>
    <row r="81" spans="1:6" s="64" customFormat="1" ht="12" customHeight="1" thickTop="1">
      <c r="A81" s="167"/>
      <c r="B81" s="81" t="s">
        <v>427</v>
      </c>
      <c r="C81" s="10" t="s">
        <v>41</v>
      </c>
      <c r="D81" s="11">
        <v>1.1299999999999999</v>
      </c>
      <c r="E81" s="12"/>
      <c r="F81" s="451"/>
    </row>
    <row r="82" spans="1:6" s="64" customFormat="1" ht="12" customHeight="1">
      <c r="A82" s="39"/>
      <c r="B82" s="63" t="s">
        <v>443</v>
      </c>
      <c r="C82" s="24" t="s">
        <v>41</v>
      </c>
      <c r="D82" s="32">
        <v>12.9</v>
      </c>
      <c r="E82" s="29"/>
      <c r="F82" s="371"/>
    </row>
    <row r="83" spans="1:6" s="64" customFormat="1" ht="12" customHeight="1">
      <c r="A83" s="39"/>
      <c r="B83" s="63" t="s">
        <v>429</v>
      </c>
      <c r="C83" s="24" t="s">
        <v>41</v>
      </c>
      <c r="D83" s="32">
        <v>0.73</v>
      </c>
      <c r="E83" s="29"/>
      <c r="F83" s="371"/>
    </row>
    <row r="84" spans="1:6" s="64" customFormat="1" ht="12" customHeight="1">
      <c r="A84" s="39"/>
      <c r="B84" s="63" t="s">
        <v>430</v>
      </c>
      <c r="C84" s="24" t="s">
        <v>41</v>
      </c>
      <c r="D84" s="32">
        <v>1.05</v>
      </c>
      <c r="E84" s="29"/>
      <c r="F84" s="371"/>
    </row>
    <row r="85" spans="1:6" s="64" customFormat="1" ht="12" customHeight="1" thickBot="1">
      <c r="A85" s="39"/>
      <c r="B85" s="63"/>
      <c r="C85" s="24"/>
      <c r="D85" s="32"/>
      <c r="E85" s="57"/>
      <c r="F85" s="371"/>
    </row>
    <row r="86" spans="1:6" s="46" customFormat="1" ht="27" customHeight="1" thickTop="1" thickBot="1">
      <c r="A86" s="301"/>
      <c r="B86" s="63" t="s">
        <v>33</v>
      </c>
      <c r="C86" s="474" t="str">
        <f>+B64</f>
        <v>FAUX PLAFOND</v>
      </c>
      <c r="D86" s="475"/>
      <c r="E86" s="476"/>
      <c r="F86" s="51"/>
    </row>
    <row r="87" spans="1:6" s="46" customFormat="1" ht="14.25" thickTop="1" thickBot="1">
      <c r="A87" s="361"/>
      <c r="B87" s="75"/>
      <c r="C87" s="423"/>
      <c r="D87" s="11"/>
      <c r="E87" s="453"/>
      <c r="F87" s="451"/>
    </row>
    <row r="88" spans="1:6" s="46" customFormat="1" ht="30" customHeight="1" thickTop="1" thickBot="1">
      <c r="A88" s="477" t="s">
        <v>63</v>
      </c>
      <c r="B88" s="478"/>
      <c r="C88" s="478"/>
      <c r="D88" s="478"/>
      <c r="E88" s="479"/>
      <c r="F88" s="102"/>
    </row>
    <row r="89" spans="1:6" ht="12.75" thickTop="1">
      <c r="E89" s="381"/>
      <c r="F89" s="106"/>
    </row>
    <row r="90" spans="1:6">
      <c r="E90" s="381"/>
      <c r="F90" s="106"/>
    </row>
    <row r="91" spans="1:6">
      <c r="A91" s="107" t="s">
        <v>64</v>
      </c>
      <c r="D91" s="381"/>
      <c r="E91" s="381"/>
      <c r="F91" s="381"/>
    </row>
    <row r="92" spans="1:6">
      <c r="D92" s="381"/>
      <c r="E92" s="381"/>
      <c r="F92" s="381"/>
    </row>
    <row r="93" spans="1:6">
      <c r="D93" s="381"/>
      <c r="E93" s="381"/>
      <c r="F93" s="381"/>
    </row>
    <row r="94" spans="1:6">
      <c r="D94" s="381"/>
      <c r="E94" s="381"/>
      <c r="F94" s="381"/>
    </row>
    <row r="95" spans="1:6">
      <c r="D95" s="381"/>
      <c r="E95" s="381"/>
      <c r="F95" s="381"/>
    </row>
    <row r="96" spans="1:6">
      <c r="D96" s="381"/>
      <c r="E96" s="381"/>
      <c r="F96" s="381"/>
    </row>
    <row r="97" spans="4:6">
      <c r="D97" s="381"/>
      <c r="E97" s="381"/>
      <c r="F97" s="381"/>
    </row>
    <row r="98" spans="4:6">
      <c r="E98" s="381"/>
      <c r="F98" s="106"/>
    </row>
    <row r="99" spans="4:6">
      <c r="E99" s="381"/>
      <c r="F99" s="106"/>
    </row>
    <row r="100" spans="4:6">
      <c r="E100" s="381"/>
      <c r="F100" s="106"/>
    </row>
    <row r="101" spans="4:6">
      <c r="E101" s="381"/>
      <c r="F101" s="106"/>
    </row>
    <row r="102" spans="4:6">
      <c r="E102" s="381"/>
      <c r="F102" s="106"/>
    </row>
    <row r="103" spans="4:6">
      <c r="E103" s="381"/>
      <c r="F103" s="106"/>
    </row>
    <row r="104" spans="4:6">
      <c r="E104" s="381"/>
      <c r="F104" s="106"/>
    </row>
    <row r="105" spans="4:6" ht="12" customHeight="1"/>
    <row r="106" spans="4:6" ht="12" customHeight="1"/>
    <row r="107" spans="4:6" ht="12" customHeight="1"/>
    <row r="108" spans="4:6" ht="12" customHeight="1"/>
    <row r="109" spans="4:6" ht="12" customHeight="1"/>
    <row r="110" spans="4:6" ht="12" customHeight="1"/>
    <row r="111" spans="4:6" ht="12" customHeight="1"/>
    <row r="112" spans="4:6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13">
    <mergeCell ref="E9:F9"/>
    <mergeCell ref="A1:F1"/>
    <mergeCell ref="A2:F2"/>
    <mergeCell ref="A3:F3"/>
    <mergeCell ref="A4:F4"/>
    <mergeCell ref="E8:F8"/>
    <mergeCell ref="A88:E88"/>
    <mergeCell ref="E11:F11"/>
    <mergeCell ref="C30:E30"/>
    <mergeCell ref="B32:B36"/>
    <mergeCell ref="C42:E42"/>
    <mergeCell ref="C62:E62"/>
    <mergeCell ref="C86:E86"/>
  </mergeCells>
  <conditionalFormatting sqref="E10">
    <cfRule type="cellIs" dxfId="12" priority="4" operator="equal">
      <formula>0</formula>
    </cfRule>
  </conditionalFormatting>
  <conditionalFormatting sqref="E40">
    <cfRule type="cellIs" dxfId="11" priority="3" operator="equal">
      <formula>0</formula>
    </cfRule>
  </conditionalFormatting>
  <conditionalFormatting sqref="E46:E60">
    <cfRule type="cellIs" dxfId="10" priority="2" operator="equal">
      <formula>0</formula>
    </cfRule>
  </conditionalFormatting>
  <conditionalFormatting sqref="E66:E69 E72 E75:E84">
    <cfRule type="cellIs" dxfId="9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2" manualBreakCount="2">
    <brk id="53" max="5" man="1"/>
    <brk id="80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8B656-9A20-402F-8FF4-527B1C82D30D}">
  <sheetPr codeName="Feuil88">
    <pageSetUpPr fitToPage="1"/>
  </sheetPr>
  <dimension ref="A1:N248"/>
  <sheetViews>
    <sheetView zoomScaleNormal="100" zoomScaleSheetLayoutView="100" workbookViewId="0">
      <selection activeCell="J25" sqref="J25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7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7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7" s="365" customFormat="1" ht="33.950000000000003" customHeight="1" thickTop="1" thickBot="1">
      <c r="A3" s="492" t="s">
        <v>588</v>
      </c>
      <c r="B3" s="493"/>
      <c r="C3" s="493"/>
      <c r="D3" s="493"/>
      <c r="E3" s="493"/>
      <c r="F3" s="494"/>
    </row>
    <row r="4" spans="1:7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</row>
    <row r="5" spans="1:7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7" ht="12" customHeight="1" thickTop="1">
      <c r="A6" s="8"/>
      <c r="B6" s="9"/>
      <c r="C6" s="10"/>
      <c r="D6" s="53"/>
      <c r="E6" s="54"/>
      <c r="F6" s="55"/>
    </row>
    <row r="7" spans="1:7" s="21" customFormat="1" ht="20.100000000000001" customHeight="1">
      <c r="A7" s="15">
        <v>10.1</v>
      </c>
      <c r="B7" s="408" t="s">
        <v>10</v>
      </c>
      <c r="C7" s="17"/>
      <c r="D7" s="18"/>
      <c r="E7" s="320"/>
      <c r="F7" s="321"/>
    </row>
    <row r="8" spans="1:7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7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7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7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7" ht="12" customHeight="1">
      <c r="A12" s="304"/>
      <c r="B12" s="23"/>
      <c r="C12" s="24"/>
      <c r="D12" s="370"/>
      <c r="E12" s="29"/>
      <c r="F12" s="26"/>
    </row>
    <row r="13" spans="1:7" customFormat="1" ht="12" customHeight="1">
      <c r="A13" s="39"/>
      <c r="B13" s="40" t="s">
        <v>18</v>
      </c>
      <c r="C13" s="41"/>
      <c r="D13" s="25"/>
      <c r="E13" s="42"/>
      <c r="F13" s="43"/>
      <c r="G13" s="1"/>
    </row>
    <row r="14" spans="1:7" customFormat="1" ht="12" customHeight="1">
      <c r="A14" s="39"/>
      <c r="B14" s="40" t="s">
        <v>508</v>
      </c>
      <c r="C14" s="41"/>
      <c r="D14" s="25"/>
      <c r="E14" s="42"/>
      <c r="F14" s="43"/>
    </row>
    <row r="15" spans="1:7" customFormat="1" ht="12" customHeight="1">
      <c r="A15" s="39"/>
      <c r="B15" s="40" t="s">
        <v>20</v>
      </c>
      <c r="C15" s="41"/>
      <c r="D15" s="25"/>
      <c r="E15" s="42"/>
      <c r="F15" s="43"/>
    </row>
    <row r="16" spans="1:7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509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510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31</v>
      </c>
      <c r="C25" s="41"/>
      <c r="D25" s="25"/>
      <c r="E25" s="42"/>
      <c r="F25" s="43"/>
    </row>
    <row r="26" spans="1:6" customFormat="1" ht="12" customHeight="1">
      <c r="A26" s="39"/>
      <c r="B26" s="40" t="s">
        <v>32</v>
      </c>
      <c r="C26" s="41"/>
      <c r="D26" s="25"/>
      <c r="E26" s="42"/>
      <c r="F26" s="43"/>
    </row>
    <row r="27" spans="1:6" customFormat="1" ht="12" customHeight="1">
      <c r="A27" s="39"/>
      <c r="B27" s="40" t="s">
        <v>34</v>
      </c>
      <c r="C27" s="41"/>
      <c r="D27" s="25"/>
      <c r="E27" s="42"/>
      <c r="F27" s="43"/>
    </row>
    <row r="28" spans="1:6" customFormat="1" ht="12" customHeight="1">
      <c r="A28" s="39"/>
      <c r="B28" s="40" t="s">
        <v>35</v>
      </c>
      <c r="C28" s="41"/>
      <c r="D28" s="25"/>
      <c r="E28" s="42"/>
      <c r="F28" s="43"/>
    </row>
    <row r="29" spans="1:6" ht="12" customHeight="1" thickBot="1">
      <c r="A29" s="22"/>
      <c r="B29" s="372"/>
      <c r="C29" s="310"/>
      <c r="D29" s="77"/>
      <c r="E29" s="78"/>
      <c r="F29" s="412"/>
    </row>
    <row r="30" spans="1:6" ht="27" customHeight="1" thickTop="1" thickBot="1">
      <c r="A30" s="22"/>
      <c r="B30" s="50"/>
      <c r="C30" s="474" t="str">
        <f>B7</f>
        <v>TRAVAUX PRELIMINAIRES</v>
      </c>
      <c r="D30" s="475"/>
      <c r="E30" s="476"/>
      <c r="F30" s="51"/>
    </row>
    <row r="31" spans="1:6" s="1" customFormat="1" ht="12" customHeight="1" thickTop="1" thickBot="1">
      <c r="A31" s="39"/>
      <c r="B31" s="52"/>
      <c r="C31" s="44"/>
      <c r="D31" s="53"/>
      <c r="E31" s="54"/>
      <c r="F31" s="55"/>
    </row>
    <row r="32" spans="1:6" s="1" customFormat="1" ht="12" customHeight="1" thickTop="1">
      <c r="A32" s="39"/>
      <c r="B32" s="483" t="s">
        <v>37</v>
      </c>
      <c r="C32" s="44"/>
      <c r="D32" s="32"/>
      <c r="E32" s="29"/>
      <c r="F32" s="26"/>
    </row>
    <row r="33" spans="1:7" s="1" customFormat="1" ht="12" customHeight="1">
      <c r="A33" s="39"/>
      <c r="B33" s="484"/>
      <c r="C33" s="44"/>
      <c r="D33" s="32"/>
      <c r="E33" s="29"/>
      <c r="F33" s="26"/>
    </row>
    <row r="34" spans="1:7" s="1" customFormat="1" ht="12" customHeight="1">
      <c r="A34" s="39"/>
      <c r="B34" s="484"/>
      <c r="C34" s="44"/>
      <c r="D34" s="32"/>
      <c r="E34" s="29"/>
      <c r="F34" s="26"/>
    </row>
    <row r="35" spans="1:7" s="1" customFormat="1" ht="12" customHeight="1">
      <c r="A35" s="39" t="s">
        <v>33</v>
      </c>
      <c r="B35" s="484"/>
      <c r="C35" s="44"/>
      <c r="D35" s="32"/>
      <c r="E35" s="29"/>
      <c r="F35" s="26"/>
    </row>
    <row r="36" spans="1:7" s="1" customFormat="1" ht="12" customHeight="1" thickBot="1">
      <c r="A36" s="39"/>
      <c r="B36" s="485"/>
      <c r="C36" s="44"/>
      <c r="D36" s="32"/>
      <c r="E36" s="29"/>
      <c r="F36" s="26"/>
    </row>
    <row r="37" spans="1:7" s="1" customFormat="1" ht="12" customHeight="1" thickTop="1">
      <c r="A37" s="39"/>
      <c r="B37" s="56"/>
      <c r="C37" s="44"/>
      <c r="D37" s="32"/>
      <c r="E37" s="57"/>
      <c r="F37" s="30"/>
    </row>
    <row r="38" spans="1:7" s="21" customFormat="1" ht="20.100000000000001" customHeight="1">
      <c r="A38" s="15">
        <f>A7+0.1</f>
        <v>10.199999999999999</v>
      </c>
      <c r="B38" s="58" t="s">
        <v>38</v>
      </c>
      <c r="C38" s="17"/>
      <c r="D38" s="18"/>
      <c r="E38" s="369"/>
      <c r="F38" s="60"/>
    </row>
    <row r="39" spans="1:7" ht="15" customHeight="1">
      <c r="A39" s="22">
        <f>A38+0.001</f>
        <v>10.200999999999999</v>
      </c>
      <c r="B39" s="61" t="s">
        <v>39</v>
      </c>
      <c r="C39" s="24"/>
      <c r="D39" s="32"/>
      <c r="E39" s="57"/>
      <c r="F39" s="26"/>
    </row>
    <row r="40" spans="1:7" s="64" customFormat="1" ht="12" customHeight="1">
      <c r="A40" s="445"/>
      <c r="B40" s="63" t="s">
        <v>589</v>
      </c>
      <c r="C40" s="24" t="s">
        <v>41</v>
      </c>
      <c r="D40" s="32">
        <v>124.21</v>
      </c>
      <c r="E40" s="29"/>
      <c r="F40" s="30"/>
    </row>
    <row r="41" spans="1:7" s="252" customFormat="1" ht="12.75" thickBot="1">
      <c r="A41" s="446"/>
      <c r="B41" s="66"/>
      <c r="C41" s="447"/>
      <c r="D41" s="448"/>
      <c r="E41" s="454"/>
      <c r="F41" s="455"/>
    </row>
    <row r="42" spans="1:7" ht="27" customHeight="1" thickTop="1" thickBot="1">
      <c r="A42" s="22"/>
      <c r="B42" s="375"/>
      <c r="C42" s="474" t="str">
        <f>+B38</f>
        <v>DEMOLITION - DEPOSE</v>
      </c>
      <c r="D42" s="475"/>
      <c r="E42" s="476"/>
      <c r="F42" s="51"/>
    </row>
    <row r="43" spans="1:7" ht="12" customHeight="1" thickTop="1" thickBot="1">
      <c r="A43" s="440"/>
      <c r="B43" s="456"/>
      <c r="C43" s="83"/>
      <c r="D43" s="421"/>
      <c r="E43" s="457"/>
      <c r="F43" s="79"/>
    </row>
    <row r="44" spans="1:7" s="21" customFormat="1" ht="20.100000000000001" customHeight="1" thickTop="1">
      <c r="A44" s="348">
        <f>A38+0.1</f>
        <v>10.299999999999999</v>
      </c>
      <c r="B44" s="433" t="s">
        <v>42</v>
      </c>
      <c r="C44" s="434"/>
      <c r="D44" s="435"/>
      <c r="E44" s="458"/>
      <c r="F44" s="436"/>
    </row>
    <row r="45" spans="1:7" ht="15" customHeight="1">
      <c r="A45" s="22">
        <f>A44+0.001</f>
        <v>10.300999999999998</v>
      </c>
      <c r="B45" s="61" t="s">
        <v>43</v>
      </c>
      <c r="C45" s="69"/>
      <c r="D45" s="32"/>
      <c r="E45" s="57"/>
      <c r="F45" s="71"/>
    </row>
    <row r="46" spans="1:7" s="64" customFormat="1" ht="12" customHeight="1">
      <c r="A46" s="445"/>
      <c r="B46" s="63" t="s">
        <v>419</v>
      </c>
      <c r="C46" s="312" t="s">
        <v>41</v>
      </c>
      <c r="D46" s="32">
        <f>(10.69*2.7)-((1.4*2.1)+(3*0.9*2.1)+(1.5*2.1))</f>
        <v>17.102999999999998</v>
      </c>
      <c r="E46" s="29"/>
      <c r="F46" s="371"/>
      <c r="G46" s="1"/>
    </row>
    <row r="47" spans="1:7" s="64" customFormat="1" ht="12" customHeight="1">
      <c r="A47" s="445"/>
      <c r="B47" s="63" t="s">
        <v>420</v>
      </c>
      <c r="C47" s="312" t="s">
        <v>41</v>
      </c>
      <c r="D47" s="32">
        <f>(25.54*2.7)-((2.4*2.75)+(1.4*2.1))</f>
        <v>59.417999999999999</v>
      </c>
      <c r="E47" s="29"/>
      <c r="F47" s="371"/>
      <c r="G47" s="1"/>
    </row>
    <row r="48" spans="1:7" s="64" customFormat="1" ht="12" customHeight="1">
      <c r="A48" s="445"/>
      <c r="B48" s="63" t="s">
        <v>421</v>
      </c>
      <c r="C48" s="312" t="s">
        <v>41</v>
      </c>
      <c r="D48" s="32">
        <f>(13.45*2.7)-((1.5*1.7)+(1.2*1.7)+(0.9*2.1))</f>
        <v>29.834999999999997</v>
      </c>
      <c r="E48" s="29"/>
      <c r="F48" s="371"/>
      <c r="G48" s="1"/>
    </row>
    <row r="49" spans="1:7" s="64" customFormat="1" ht="12" customHeight="1">
      <c r="A49" s="445"/>
      <c r="B49" s="63" t="s">
        <v>422</v>
      </c>
      <c r="C49" s="312" t="s">
        <v>41</v>
      </c>
      <c r="D49" s="32">
        <f>(17.06*2.7)-(6*0.9*2.1)</f>
        <v>34.721999999999994</v>
      </c>
      <c r="E49" s="29"/>
      <c r="F49" s="371"/>
      <c r="G49" s="1"/>
    </row>
    <row r="50" spans="1:7" s="64" customFormat="1" ht="12" customHeight="1">
      <c r="A50" s="445"/>
      <c r="B50" s="63" t="s">
        <v>423</v>
      </c>
      <c r="C50" s="312" t="s">
        <v>41</v>
      </c>
      <c r="D50" s="32">
        <f>(5.3*2.7)-((0.9*2.1))</f>
        <v>12.42</v>
      </c>
      <c r="E50" s="29"/>
      <c r="F50" s="371"/>
      <c r="G50" s="1"/>
    </row>
    <row r="51" spans="1:7" s="64" customFormat="1" ht="12" customHeight="1">
      <c r="A51" s="445"/>
      <c r="B51" s="63" t="s">
        <v>424</v>
      </c>
      <c r="C51" s="312" t="s">
        <v>41</v>
      </c>
      <c r="D51" s="32">
        <f>(15.52*2.7)-((2*0.9*2.1)+(1.5*2.1)+(2*1.8*2.75))</f>
        <v>25.074000000000002</v>
      </c>
      <c r="E51" s="29"/>
      <c r="F51" s="371"/>
      <c r="G51" s="1"/>
    </row>
    <row r="52" spans="1:7" s="64" customFormat="1" ht="12" customHeight="1">
      <c r="A52" s="445"/>
      <c r="B52" s="63" t="s">
        <v>425</v>
      </c>
      <c r="C52" s="312" t="s">
        <v>41</v>
      </c>
      <c r="D52" s="32">
        <f>(4.72*2.7)-((1.5*2.1))</f>
        <v>9.5939999999999994</v>
      </c>
      <c r="E52" s="29"/>
      <c r="F52" s="371"/>
      <c r="G52" s="1"/>
    </row>
    <row r="53" spans="1:7" s="64" customFormat="1" ht="12" customHeight="1">
      <c r="A53" s="445"/>
      <c r="B53" s="63" t="s">
        <v>584</v>
      </c>
      <c r="C53" s="312" t="s">
        <v>41</v>
      </c>
      <c r="D53" s="32">
        <f>(9.42*2.7)-(0.9*2.1)</f>
        <v>23.544</v>
      </c>
      <c r="E53" s="29"/>
      <c r="F53" s="26" t="s">
        <v>62</v>
      </c>
      <c r="G53" s="1"/>
    </row>
    <row r="54" spans="1:7" s="64" customFormat="1" ht="12" customHeight="1">
      <c r="A54" s="445"/>
      <c r="B54" s="63" t="s">
        <v>426</v>
      </c>
      <c r="C54" s="312" t="s">
        <v>41</v>
      </c>
      <c r="D54" s="32">
        <f>(13.54*2.7)-((1.5*2.1)+(2*0.9*2.1)+(1.8*2.75))</f>
        <v>24.677999999999997</v>
      </c>
      <c r="E54" s="29"/>
      <c r="F54" s="371"/>
      <c r="G54" s="1"/>
    </row>
    <row r="55" spans="1:7" s="64" customFormat="1" ht="12" customHeight="1">
      <c r="A55" s="445"/>
      <c r="B55" s="63" t="s">
        <v>427</v>
      </c>
      <c r="C55" s="312" t="s">
        <v>41</v>
      </c>
      <c r="D55" s="32">
        <f>(4.98*2.7)-((1.5*2.1))</f>
        <v>10.296000000000001</v>
      </c>
      <c r="E55" s="29"/>
      <c r="F55" s="371"/>
      <c r="G55" s="1"/>
    </row>
    <row r="56" spans="1:7" s="64" customFormat="1" ht="12" customHeight="1">
      <c r="A56" s="445"/>
      <c r="B56" s="63" t="s">
        <v>585</v>
      </c>
      <c r="C56" s="312" t="s">
        <v>41</v>
      </c>
      <c r="D56" s="32">
        <f>(9.16*2.7)-((1.5*1.7)+(0.9*2.1))</f>
        <v>20.292000000000002</v>
      </c>
      <c r="E56" s="29"/>
      <c r="F56" s="26" t="s">
        <v>62</v>
      </c>
      <c r="G56" s="1"/>
    </row>
    <row r="57" spans="1:7" s="64" customFormat="1" ht="12" customHeight="1">
      <c r="A57" s="445"/>
      <c r="B57" s="63" t="s">
        <v>428</v>
      </c>
      <c r="C57" s="312" t="s">
        <v>41</v>
      </c>
      <c r="D57" s="32">
        <f>(15.06*2.7)-((2*0.9*2.1)+(1.8*2.75))</f>
        <v>31.932000000000006</v>
      </c>
      <c r="E57" s="29"/>
      <c r="F57" s="371"/>
      <c r="G57" s="1"/>
    </row>
    <row r="58" spans="1:7" s="64" customFormat="1" ht="12" customHeight="1">
      <c r="A58" s="445"/>
      <c r="B58" s="63" t="s">
        <v>429</v>
      </c>
      <c r="C58" s="312" t="s">
        <v>41</v>
      </c>
      <c r="D58" s="32">
        <f>(3.64*2.7)-((0.9*2.1))</f>
        <v>7.9380000000000006</v>
      </c>
      <c r="E58" s="29"/>
      <c r="F58" s="371"/>
      <c r="G58" s="1"/>
    </row>
    <row r="59" spans="1:7" s="64" customFormat="1" ht="12" customHeight="1">
      <c r="A59" s="445"/>
      <c r="B59" s="63" t="s">
        <v>586</v>
      </c>
      <c r="C59" s="312" t="s">
        <v>41</v>
      </c>
      <c r="D59" s="32">
        <f>(11.91*2.7)-((1.5*1.7)+(0.9*2.1))</f>
        <v>27.717000000000006</v>
      </c>
      <c r="E59" s="29"/>
      <c r="F59" s="26" t="s">
        <v>62</v>
      </c>
      <c r="G59" s="1"/>
    </row>
    <row r="60" spans="1:7" s="64" customFormat="1" ht="12" customHeight="1">
      <c r="A60" s="445"/>
      <c r="B60" s="63" t="s">
        <v>430</v>
      </c>
      <c r="C60" s="312" t="s">
        <v>41</v>
      </c>
      <c r="D60" s="32">
        <f>(4.7*2.7)-((1.5*2.1))</f>
        <v>9.5400000000000009</v>
      </c>
      <c r="E60" s="29"/>
      <c r="F60" s="371"/>
      <c r="G60" s="1"/>
    </row>
    <row r="61" spans="1:7" s="64" customFormat="1" ht="12" customHeight="1" thickBot="1">
      <c r="A61" s="445"/>
      <c r="B61" s="63"/>
      <c r="C61" s="24"/>
      <c r="D61" s="32"/>
      <c r="E61" s="57"/>
      <c r="F61" s="371"/>
    </row>
    <row r="62" spans="1:7" ht="27" customHeight="1" thickTop="1" thickBot="1">
      <c r="A62" s="22"/>
      <c r="B62" s="66"/>
      <c r="C62" s="474" t="s">
        <v>52</v>
      </c>
      <c r="D62" s="475"/>
      <c r="E62" s="476"/>
      <c r="F62" s="51"/>
    </row>
    <row r="63" spans="1:7" ht="12.75" thickTop="1">
      <c r="A63" s="22"/>
      <c r="B63" s="66"/>
      <c r="C63" s="24"/>
      <c r="D63" s="378"/>
      <c r="E63" s="367"/>
      <c r="F63" s="379"/>
    </row>
    <row r="64" spans="1:7" s="89" customFormat="1" ht="20.100000000000001" customHeight="1">
      <c r="A64" s="348">
        <f>A44+0.1</f>
        <v>10.399999999999999</v>
      </c>
      <c r="B64" s="58" t="s">
        <v>53</v>
      </c>
      <c r="C64" s="17"/>
      <c r="D64" s="18"/>
      <c r="E64" s="369"/>
      <c r="F64" s="60"/>
    </row>
    <row r="65" spans="1:14" s="46" customFormat="1" ht="24">
      <c r="A65" s="22"/>
      <c r="B65" s="61" t="s">
        <v>56</v>
      </c>
      <c r="C65" s="24"/>
      <c r="D65" s="32"/>
      <c r="E65" s="57"/>
      <c r="F65" s="30"/>
      <c r="H65" s="64"/>
      <c r="I65" s="64"/>
      <c r="J65" s="64"/>
      <c r="K65" s="64"/>
      <c r="L65" s="64"/>
      <c r="M65" s="64"/>
      <c r="N65" s="64"/>
    </row>
    <row r="66" spans="1:14" s="64" customFormat="1" ht="12" customHeight="1">
      <c r="A66" s="445"/>
      <c r="B66" s="63" t="s">
        <v>432</v>
      </c>
      <c r="C66" s="24" t="s">
        <v>41</v>
      </c>
      <c r="D66" s="32">
        <v>1.57</v>
      </c>
      <c r="E66" s="29"/>
      <c r="F66" s="371"/>
    </row>
    <row r="67" spans="1:14" s="64" customFormat="1" ht="12" customHeight="1">
      <c r="A67" s="445"/>
      <c r="B67" s="63" t="s">
        <v>433</v>
      </c>
      <c r="C67" s="24" t="s">
        <v>41</v>
      </c>
      <c r="D67" s="32">
        <v>3.48</v>
      </c>
      <c r="E67" s="29"/>
      <c r="F67" s="371"/>
    </row>
    <row r="68" spans="1:14" s="64" customFormat="1" ht="12" customHeight="1">
      <c r="A68" s="39"/>
      <c r="B68" s="63" t="s">
        <v>434</v>
      </c>
      <c r="C68" s="24" t="s">
        <v>41</v>
      </c>
      <c r="D68" s="32">
        <v>3.23</v>
      </c>
      <c r="E68" s="29"/>
      <c r="F68" s="371"/>
    </row>
    <row r="69" spans="1:14" s="64" customFormat="1" ht="12" customHeight="1">
      <c r="A69" s="39"/>
      <c r="B69" s="63" t="s">
        <v>435</v>
      </c>
      <c r="C69" s="24" t="s">
        <v>41</v>
      </c>
      <c r="D69" s="32">
        <v>7.93</v>
      </c>
      <c r="E69" s="29"/>
      <c r="F69" s="371"/>
    </row>
    <row r="70" spans="1:14" s="64" customFormat="1" ht="12" customHeight="1">
      <c r="A70" s="301"/>
      <c r="B70" s="56" t="s">
        <v>33</v>
      </c>
      <c r="C70" s="44"/>
      <c r="D70" s="32"/>
      <c r="E70" s="57"/>
      <c r="F70" s="30"/>
    </row>
    <row r="71" spans="1:14" s="46" customFormat="1" ht="15">
      <c r="A71" s="22"/>
      <c r="B71" s="61" t="s">
        <v>587</v>
      </c>
      <c r="C71" s="24"/>
      <c r="D71" s="32"/>
      <c r="E71" s="57"/>
      <c r="F71" s="30"/>
      <c r="H71" s="64"/>
      <c r="I71" s="64"/>
      <c r="J71" s="64"/>
      <c r="K71" s="64"/>
      <c r="L71" s="64"/>
      <c r="M71" s="64"/>
      <c r="N71" s="64"/>
    </row>
    <row r="72" spans="1:14" s="64" customFormat="1" ht="12" customHeight="1">
      <c r="A72" s="39"/>
      <c r="B72" s="63" t="s">
        <v>420</v>
      </c>
      <c r="C72" s="24" t="s">
        <v>41</v>
      </c>
      <c r="D72" s="32">
        <v>32.68</v>
      </c>
      <c r="E72" s="29"/>
      <c r="F72" s="371"/>
    </row>
    <row r="73" spans="1:14" s="64" customFormat="1" ht="12" customHeight="1">
      <c r="A73" s="39"/>
      <c r="B73" s="63"/>
      <c r="C73" s="24"/>
      <c r="D73" s="32"/>
      <c r="E73" s="57"/>
      <c r="F73" s="371"/>
    </row>
    <row r="74" spans="1:14" s="64" customFormat="1" ht="15" customHeight="1">
      <c r="A74" s="39"/>
      <c r="B74" s="380" t="s">
        <v>590</v>
      </c>
      <c r="C74" s="24"/>
      <c r="D74" s="32"/>
      <c r="E74" s="57"/>
      <c r="F74" s="371"/>
    </row>
    <row r="75" spans="1:14" s="64" customFormat="1" ht="12" customHeight="1">
      <c r="A75" s="39"/>
      <c r="B75" s="63" t="s">
        <v>437</v>
      </c>
      <c r="C75" s="24" t="s">
        <v>41</v>
      </c>
      <c r="D75" s="32">
        <v>6.25</v>
      </c>
      <c r="E75" s="29"/>
      <c r="F75" s="371"/>
    </row>
    <row r="76" spans="1:14" s="64" customFormat="1" ht="12" customHeight="1">
      <c r="A76" s="39"/>
      <c r="B76" s="63" t="s">
        <v>438</v>
      </c>
      <c r="C76" s="24" t="s">
        <v>41</v>
      </c>
      <c r="D76" s="32">
        <v>11.02</v>
      </c>
      <c r="E76" s="29"/>
      <c r="F76" s="371"/>
    </row>
    <row r="77" spans="1:14" s="64" customFormat="1" ht="12" customHeight="1">
      <c r="A77" s="39"/>
      <c r="B77" s="63" t="s">
        <v>439</v>
      </c>
      <c r="C77" s="24" t="s">
        <v>41</v>
      </c>
      <c r="D77" s="32">
        <v>7.53</v>
      </c>
      <c r="E77" s="29"/>
      <c r="F77" s="371"/>
    </row>
    <row r="78" spans="1:14" s="64" customFormat="1" ht="12" customHeight="1">
      <c r="A78" s="39"/>
      <c r="B78" s="63" t="s">
        <v>440</v>
      </c>
      <c r="C78" s="24" t="s">
        <v>41</v>
      </c>
      <c r="D78" s="32">
        <v>14.03</v>
      </c>
      <c r="E78" s="29"/>
      <c r="F78" s="371"/>
    </row>
    <row r="79" spans="1:14" s="64" customFormat="1" ht="12" customHeight="1">
      <c r="A79" s="39"/>
      <c r="B79" s="63" t="s">
        <v>441</v>
      </c>
      <c r="C79" s="24" t="s">
        <v>41</v>
      </c>
      <c r="D79" s="32">
        <v>1.05</v>
      </c>
      <c r="E79" s="29"/>
      <c r="F79" s="371"/>
    </row>
    <row r="80" spans="1:14" s="64" customFormat="1" ht="12" customHeight="1">
      <c r="A80" s="39"/>
      <c r="B80" s="63" t="s">
        <v>442</v>
      </c>
      <c r="C80" s="24" t="s">
        <v>41</v>
      </c>
      <c r="D80" s="32">
        <v>11.31</v>
      </c>
      <c r="E80" s="29"/>
      <c r="F80" s="371"/>
    </row>
    <row r="81" spans="1:14" s="64" customFormat="1" ht="12" customHeight="1">
      <c r="A81" s="39"/>
      <c r="B81" s="63" t="s">
        <v>427</v>
      </c>
      <c r="C81" s="24" t="s">
        <v>41</v>
      </c>
      <c r="D81" s="32">
        <v>1.1299999999999999</v>
      </c>
      <c r="E81" s="29"/>
      <c r="F81" s="371"/>
    </row>
    <row r="82" spans="1:14" s="64" customFormat="1" ht="12" customHeight="1">
      <c r="A82" s="39"/>
      <c r="B82" s="63" t="s">
        <v>443</v>
      </c>
      <c r="C82" s="24" t="s">
        <v>41</v>
      </c>
      <c r="D82" s="32">
        <v>12.9</v>
      </c>
      <c r="E82" s="29"/>
      <c r="F82" s="371"/>
    </row>
    <row r="83" spans="1:14" s="64" customFormat="1" ht="12" customHeight="1">
      <c r="A83" s="39"/>
      <c r="B83" s="63" t="s">
        <v>429</v>
      </c>
      <c r="C83" s="24" t="s">
        <v>41</v>
      </c>
      <c r="D83" s="32">
        <v>0.73</v>
      </c>
      <c r="E83" s="29"/>
      <c r="F83" s="371"/>
    </row>
    <row r="84" spans="1:14" s="64" customFormat="1" ht="12" customHeight="1">
      <c r="A84" s="39"/>
      <c r="B84" s="63" t="s">
        <v>430</v>
      </c>
      <c r="C84" s="24" t="s">
        <v>41</v>
      </c>
      <c r="D84" s="32">
        <v>1.05</v>
      </c>
      <c r="E84" s="29"/>
      <c r="F84" s="371"/>
    </row>
    <row r="85" spans="1:14" s="64" customFormat="1" ht="12" customHeight="1" thickBot="1">
      <c r="A85" s="39"/>
      <c r="B85" s="63"/>
      <c r="C85" s="24"/>
      <c r="D85" s="32"/>
      <c r="E85" s="57"/>
      <c r="F85" s="371"/>
    </row>
    <row r="86" spans="1:14" s="46" customFormat="1" ht="27" customHeight="1" thickTop="1" thickBot="1">
      <c r="A86" s="90"/>
      <c r="B86" s="63" t="s">
        <v>33</v>
      </c>
      <c r="C86" s="474" t="str">
        <f>+B64</f>
        <v>FAUX PLAFOND</v>
      </c>
      <c r="D86" s="475"/>
      <c r="E86" s="476"/>
      <c r="F86" s="51"/>
      <c r="H86" s="64"/>
      <c r="I86" s="64"/>
      <c r="J86" s="64"/>
      <c r="K86" s="64"/>
      <c r="L86" s="64"/>
      <c r="M86" s="64"/>
      <c r="N86" s="64"/>
    </row>
    <row r="87" spans="1:14" s="46" customFormat="1" ht="16.5" thickTop="1" thickBot="1">
      <c r="A87" s="459"/>
      <c r="B87" s="75"/>
      <c r="C87" s="430"/>
      <c r="D87" s="421"/>
      <c r="E87" s="457"/>
      <c r="F87" s="452"/>
      <c r="H87" s="64"/>
      <c r="I87" s="64"/>
      <c r="J87" s="64"/>
      <c r="K87" s="64"/>
      <c r="L87" s="64"/>
      <c r="M87" s="64"/>
      <c r="N87" s="64"/>
    </row>
    <row r="88" spans="1:14" s="46" customFormat="1" ht="30" customHeight="1" thickTop="1" thickBot="1">
      <c r="A88" s="477" t="s">
        <v>63</v>
      </c>
      <c r="B88" s="478"/>
      <c r="C88" s="478"/>
      <c r="D88" s="478"/>
      <c r="E88" s="479"/>
      <c r="F88" s="102"/>
      <c r="H88" s="64"/>
      <c r="I88" s="64"/>
      <c r="J88" s="64"/>
      <c r="K88" s="64"/>
      <c r="L88" s="64"/>
      <c r="M88" s="64"/>
      <c r="N88" s="64"/>
    </row>
    <row r="89" spans="1:14" ht="15.75" thickTop="1">
      <c r="E89" s="381"/>
      <c r="F89" s="106"/>
      <c r="H89" s="64"/>
      <c r="I89" s="64"/>
      <c r="J89" s="64"/>
      <c r="K89" s="64"/>
      <c r="L89" s="64"/>
      <c r="M89" s="64"/>
      <c r="N89" s="64"/>
    </row>
    <row r="90" spans="1:14" ht="15">
      <c r="E90" s="381"/>
      <c r="F90" s="106"/>
      <c r="H90" s="64"/>
      <c r="I90" s="64"/>
      <c r="J90" s="64"/>
      <c r="K90" s="64"/>
      <c r="L90" s="64"/>
      <c r="M90" s="64"/>
      <c r="N90" s="64"/>
    </row>
    <row r="91" spans="1:14" ht="15">
      <c r="A91" s="107" t="s">
        <v>64</v>
      </c>
      <c r="E91" s="381"/>
      <c r="F91" s="106"/>
      <c r="H91" s="64"/>
      <c r="I91" s="64"/>
      <c r="J91" s="64"/>
      <c r="K91" s="64"/>
      <c r="L91" s="64"/>
      <c r="M91" s="64"/>
      <c r="N91" s="64"/>
    </row>
    <row r="92" spans="1:14" ht="15">
      <c r="E92" s="381"/>
      <c r="F92" s="106"/>
      <c r="H92" s="64"/>
      <c r="I92" s="64"/>
      <c r="J92" s="64"/>
      <c r="K92" s="64"/>
      <c r="L92" s="64"/>
      <c r="M92" s="64"/>
      <c r="N92" s="64"/>
    </row>
    <row r="93" spans="1:14" ht="15">
      <c r="D93" s="106"/>
      <c r="E93" s="106"/>
      <c r="F93" s="106"/>
      <c r="H93" s="64"/>
      <c r="I93" s="64"/>
      <c r="J93" s="64"/>
      <c r="K93" s="64"/>
      <c r="L93" s="64"/>
      <c r="M93" s="64"/>
      <c r="N93" s="64"/>
    </row>
    <row r="94" spans="1:14" ht="15">
      <c r="D94" s="106"/>
      <c r="E94" s="106"/>
      <c r="F94" s="106"/>
      <c r="H94" s="64"/>
      <c r="I94" s="64"/>
      <c r="J94" s="64"/>
      <c r="K94" s="64"/>
      <c r="L94" s="64"/>
      <c r="M94" s="64"/>
      <c r="N94" s="64"/>
    </row>
    <row r="95" spans="1:14" ht="15">
      <c r="B95" s="104" t="s">
        <v>33</v>
      </c>
      <c r="D95" s="106"/>
      <c r="E95" s="106"/>
      <c r="F95" s="106"/>
      <c r="H95" s="64"/>
      <c r="I95" s="64"/>
      <c r="J95" s="64"/>
      <c r="K95" s="64"/>
      <c r="L95" s="64"/>
      <c r="M95" s="64"/>
      <c r="N95" s="64"/>
    </row>
    <row r="96" spans="1:14" ht="15">
      <c r="E96" s="381"/>
      <c r="F96" s="106"/>
      <c r="H96" s="64"/>
      <c r="I96" s="64"/>
      <c r="J96" s="64"/>
      <c r="K96" s="64"/>
      <c r="L96" s="64"/>
      <c r="M96" s="64"/>
      <c r="N96" s="64"/>
    </row>
    <row r="97" spans="5:14" ht="15">
      <c r="E97" s="381"/>
      <c r="F97" s="106"/>
      <c r="H97" s="64"/>
      <c r="I97" s="64"/>
      <c r="J97" s="64"/>
      <c r="K97" s="64"/>
      <c r="L97" s="64"/>
      <c r="M97" s="64"/>
      <c r="N97" s="64"/>
    </row>
    <row r="98" spans="5:14" ht="15">
      <c r="E98" s="381"/>
      <c r="F98" s="106"/>
      <c r="H98" s="64"/>
      <c r="I98" s="64"/>
      <c r="J98" s="64"/>
      <c r="K98" s="64"/>
      <c r="L98" s="64"/>
      <c r="M98" s="64"/>
      <c r="N98" s="64"/>
    </row>
    <row r="99" spans="5:14">
      <c r="E99" s="381"/>
      <c r="F99" s="106"/>
    </row>
    <row r="100" spans="5:14">
      <c r="E100" s="381"/>
      <c r="F100" s="106"/>
    </row>
    <row r="101" spans="5:14">
      <c r="E101" s="381"/>
      <c r="F101" s="106"/>
    </row>
    <row r="102" spans="5:14">
      <c r="E102" s="381"/>
      <c r="F102" s="106"/>
    </row>
    <row r="103" spans="5:14">
      <c r="E103" s="381"/>
      <c r="F103" s="106"/>
    </row>
    <row r="104" spans="5:14" ht="12" customHeight="1"/>
    <row r="105" spans="5:14" ht="12" customHeight="1"/>
    <row r="106" spans="5:14" ht="12" customHeight="1"/>
    <row r="107" spans="5:14" ht="12" customHeight="1"/>
    <row r="108" spans="5:14" ht="12" customHeight="1"/>
    <row r="109" spans="5:14" ht="12" customHeight="1"/>
    <row r="110" spans="5:14" ht="12" customHeight="1"/>
    <row r="111" spans="5:14" ht="12" customHeight="1"/>
    <row r="112" spans="5:14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13">
    <mergeCell ref="E9:F9"/>
    <mergeCell ref="A1:F1"/>
    <mergeCell ref="A2:F2"/>
    <mergeCell ref="A3:F3"/>
    <mergeCell ref="A4:F4"/>
    <mergeCell ref="E8:F8"/>
    <mergeCell ref="A88:E88"/>
    <mergeCell ref="E11:F11"/>
    <mergeCell ref="C30:E30"/>
    <mergeCell ref="B32:B36"/>
    <mergeCell ref="C42:E42"/>
    <mergeCell ref="C62:E62"/>
    <mergeCell ref="C86:E86"/>
  </mergeCells>
  <conditionalFormatting sqref="E10">
    <cfRule type="cellIs" dxfId="8" priority="4" operator="equal">
      <formula>0</formula>
    </cfRule>
  </conditionalFormatting>
  <conditionalFormatting sqref="E40">
    <cfRule type="cellIs" dxfId="7" priority="3" operator="equal">
      <formula>0</formula>
    </cfRule>
  </conditionalFormatting>
  <conditionalFormatting sqref="E46:E60">
    <cfRule type="cellIs" dxfId="6" priority="2" operator="equal">
      <formula>0</formula>
    </cfRule>
  </conditionalFormatting>
  <conditionalFormatting sqref="E66:E69 E72 E75:E84">
    <cfRule type="cellIs" dxfId="5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43" max="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1C00-5936-453E-84E3-022095432800}">
  <sheetPr codeName="Feuil89">
    <pageSetUpPr fitToPage="1"/>
  </sheetPr>
  <dimension ref="A1:K294"/>
  <sheetViews>
    <sheetView topLeftCell="A22" zoomScaleNormal="100" zoomScaleSheetLayoutView="100" workbookViewId="0">
      <selection activeCell="H36" sqref="H36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11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  <c r="H1" s="14"/>
      <c r="I1" s="14"/>
      <c r="J1" s="14"/>
      <c r="K1" s="14"/>
    </row>
    <row r="2" spans="1:11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  <c r="H2" s="14"/>
      <c r="I2" s="14"/>
      <c r="J2" s="14"/>
      <c r="K2" s="14"/>
    </row>
    <row r="3" spans="1:11" s="365" customFormat="1" ht="33.950000000000003" customHeight="1" thickTop="1" thickBot="1">
      <c r="A3" s="492" t="s">
        <v>591</v>
      </c>
      <c r="B3" s="493"/>
      <c r="C3" s="493"/>
      <c r="D3" s="493"/>
      <c r="E3" s="493"/>
      <c r="F3" s="494"/>
      <c r="H3" s="14"/>
      <c r="I3" s="14"/>
      <c r="J3" s="14"/>
      <c r="K3" s="14"/>
    </row>
    <row r="4" spans="1:11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  <c r="H4" s="14"/>
      <c r="I4" s="14"/>
      <c r="J4" s="14"/>
      <c r="K4" s="14"/>
    </row>
    <row r="5" spans="1:11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  <c r="H5" s="14"/>
      <c r="I5" s="14"/>
      <c r="J5" s="14"/>
      <c r="K5" s="14"/>
    </row>
    <row r="6" spans="1:11" ht="12" customHeight="1" thickTop="1">
      <c r="A6" s="8"/>
      <c r="B6" s="9"/>
      <c r="C6" s="10"/>
      <c r="D6" s="11"/>
      <c r="E6" s="12"/>
      <c r="F6" s="319"/>
    </row>
    <row r="7" spans="1:11" s="21" customFormat="1" ht="20.100000000000001" customHeight="1">
      <c r="A7" s="15">
        <v>10.1</v>
      </c>
      <c r="B7" s="16" t="s">
        <v>10</v>
      </c>
      <c r="C7" s="17"/>
      <c r="D7" s="18"/>
      <c r="E7" s="320"/>
      <c r="F7" s="321"/>
      <c r="H7" s="14"/>
      <c r="I7" s="14"/>
      <c r="J7" s="14"/>
      <c r="K7" s="14"/>
    </row>
    <row r="8" spans="1:11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  <c r="H8" s="14"/>
      <c r="I8" s="14"/>
      <c r="J8" s="14"/>
      <c r="K8" s="14"/>
    </row>
    <row r="9" spans="1:11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  <c r="H9" s="14"/>
      <c r="I9" s="14"/>
      <c r="J9" s="14"/>
      <c r="K9" s="14"/>
    </row>
    <row r="10" spans="1:11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11" s="1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  <c r="H11" s="14"/>
      <c r="I11" s="14"/>
      <c r="J11" s="14"/>
      <c r="K11" s="14"/>
    </row>
    <row r="12" spans="1:11" ht="12" customHeight="1">
      <c r="A12" s="304"/>
      <c r="B12" s="23"/>
      <c r="C12" s="24"/>
      <c r="D12" s="370"/>
      <c r="E12" s="29"/>
      <c r="F12" s="26"/>
    </row>
    <row r="13" spans="1:11" customFormat="1" ht="12" customHeight="1">
      <c r="A13" s="39"/>
      <c r="B13" s="40" t="s">
        <v>18</v>
      </c>
      <c r="C13" s="41"/>
      <c r="D13" s="32"/>
      <c r="E13" s="29"/>
      <c r="F13" s="26"/>
      <c r="H13" s="14"/>
      <c r="I13" s="14"/>
      <c r="J13" s="14"/>
      <c r="K13" s="14"/>
    </row>
    <row r="14" spans="1:11" customFormat="1" ht="12" customHeight="1">
      <c r="A14" s="39"/>
      <c r="B14" s="40" t="s">
        <v>508</v>
      </c>
      <c r="C14" s="41"/>
      <c r="D14" s="32"/>
      <c r="E14" s="29"/>
      <c r="F14" s="26"/>
      <c r="H14" s="14"/>
      <c r="I14" s="14"/>
      <c r="J14" s="14"/>
      <c r="K14" s="14"/>
    </row>
    <row r="15" spans="1:11" customFormat="1" ht="12" customHeight="1">
      <c r="A15" s="39"/>
      <c r="B15" s="40" t="s">
        <v>20</v>
      </c>
      <c r="C15" s="41"/>
      <c r="D15" s="32"/>
      <c r="E15" s="29"/>
      <c r="F15" s="26"/>
      <c r="H15" s="14"/>
      <c r="I15" s="14"/>
      <c r="J15" s="14"/>
      <c r="K15" s="14"/>
    </row>
    <row r="16" spans="1:11" customFormat="1" ht="12" customHeight="1">
      <c r="A16" s="39"/>
      <c r="B16" s="40" t="s">
        <v>21</v>
      </c>
      <c r="C16" s="44"/>
      <c r="D16" s="32"/>
      <c r="E16" s="29"/>
      <c r="F16" s="26"/>
      <c r="H16" s="14"/>
      <c r="I16" s="14"/>
      <c r="J16" s="14"/>
      <c r="K16" s="14"/>
    </row>
    <row r="17" spans="1:11" customFormat="1" ht="12" customHeight="1">
      <c r="A17" s="39"/>
      <c r="B17" s="40" t="s">
        <v>22</v>
      </c>
      <c r="C17" s="41"/>
      <c r="D17" s="32"/>
      <c r="E17" s="29"/>
      <c r="F17" s="26"/>
      <c r="H17" s="14"/>
      <c r="I17" s="14"/>
      <c r="J17" s="14"/>
      <c r="K17" s="14"/>
    </row>
    <row r="18" spans="1:11" customFormat="1" ht="12" customHeight="1">
      <c r="A18" s="39"/>
      <c r="B18" s="40" t="s">
        <v>23</v>
      </c>
      <c r="C18" s="41"/>
      <c r="D18" s="32"/>
      <c r="E18" s="29"/>
      <c r="F18" s="26"/>
      <c r="H18" s="14"/>
      <c r="I18" s="14"/>
      <c r="J18" s="14"/>
      <c r="K18" s="14"/>
    </row>
    <row r="19" spans="1:11" customFormat="1" ht="12" customHeight="1">
      <c r="A19" s="39"/>
      <c r="B19" s="40" t="s">
        <v>24</v>
      </c>
      <c r="C19" s="41"/>
      <c r="D19" s="32"/>
      <c r="E19" s="29"/>
      <c r="F19" s="26"/>
      <c r="H19" s="14"/>
      <c r="I19" s="14"/>
      <c r="J19" s="14"/>
      <c r="K19" s="14"/>
    </row>
    <row r="20" spans="1:11" customFormat="1" ht="12" customHeight="1">
      <c r="A20" s="39"/>
      <c r="B20" s="40" t="s">
        <v>509</v>
      </c>
      <c r="C20" s="41"/>
      <c r="D20" s="32"/>
      <c r="E20" s="29"/>
      <c r="F20" s="26"/>
      <c r="H20" s="14"/>
      <c r="I20" s="14"/>
      <c r="J20" s="14"/>
      <c r="K20" s="14"/>
    </row>
    <row r="21" spans="1:11" customFormat="1" ht="12" customHeight="1">
      <c r="A21" s="39"/>
      <c r="B21" s="40" t="s">
        <v>26</v>
      </c>
      <c r="C21" s="41"/>
      <c r="D21" s="32"/>
      <c r="E21" s="29"/>
      <c r="F21" s="26"/>
      <c r="H21" s="14"/>
      <c r="I21" s="14"/>
      <c r="J21" s="14"/>
      <c r="K21" s="14"/>
    </row>
    <row r="22" spans="1:11" customFormat="1" ht="12" customHeight="1">
      <c r="A22" s="39"/>
      <c r="B22" s="40" t="s">
        <v>27</v>
      </c>
      <c r="C22" s="41"/>
      <c r="D22" s="32"/>
      <c r="E22" s="29"/>
      <c r="F22" s="26"/>
      <c r="H22" s="14"/>
      <c r="I22" s="14"/>
      <c r="J22" s="14"/>
      <c r="K22" s="14"/>
    </row>
    <row r="23" spans="1:11" customFormat="1" ht="12" customHeight="1">
      <c r="A23" s="39"/>
      <c r="B23" s="40" t="s">
        <v>510</v>
      </c>
      <c r="C23" s="41"/>
      <c r="D23" s="32"/>
      <c r="E23" s="29"/>
      <c r="F23" s="26"/>
      <c r="H23" s="14"/>
      <c r="I23" s="14"/>
      <c r="J23" s="14"/>
      <c r="K23" s="14"/>
    </row>
    <row r="24" spans="1:11" customFormat="1" ht="12" customHeight="1">
      <c r="A24" s="39"/>
      <c r="B24" s="40" t="s">
        <v>29</v>
      </c>
      <c r="C24" s="41"/>
      <c r="D24" s="32"/>
      <c r="E24" s="29"/>
      <c r="F24" s="26"/>
      <c r="H24" s="14"/>
      <c r="I24" s="14"/>
      <c r="J24" s="14"/>
      <c r="K24" s="14"/>
    </row>
    <row r="25" spans="1:11" customFormat="1" ht="12" customHeight="1">
      <c r="A25" s="39"/>
      <c r="B25" s="40" t="s">
        <v>31</v>
      </c>
      <c r="C25" s="41"/>
      <c r="D25" s="32"/>
      <c r="E25" s="29"/>
      <c r="F25" s="26"/>
      <c r="H25" s="14"/>
      <c r="I25" s="14"/>
      <c r="J25" s="14"/>
      <c r="K25" s="14"/>
    </row>
    <row r="26" spans="1:11" customFormat="1" ht="12" customHeight="1">
      <c r="A26" s="39"/>
      <c r="B26" s="40" t="s">
        <v>32</v>
      </c>
      <c r="C26" s="41"/>
      <c r="D26" s="32"/>
      <c r="E26" s="29"/>
      <c r="F26" s="26"/>
      <c r="H26" s="14"/>
      <c r="I26" s="14"/>
      <c r="J26" s="14"/>
      <c r="K26" s="14"/>
    </row>
    <row r="27" spans="1:11" customFormat="1" ht="12" customHeight="1">
      <c r="A27" s="39"/>
      <c r="B27" s="40" t="s">
        <v>34</v>
      </c>
      <c r="C27" s="41"/>
      <c r="D27" s="32"/>
      <c r="E27" s="29"/>
      <c r="F27" s="26"/>
      <c r="H27" s="14"/>
      <c r="I27" s="14"/>
      <c r="J27" s="14"/>
      <c r="K27" s="14"/>
    </row>
    <row r="28" spans="1:11" customFormat="1" ht="12" customHeight="1">
      <c r="A28" s="39"/>
      <c r="B28" s="40" t="s">
        <v>35</v>
      </c>
      <c r="C28" s="41"/>
      <c r="D28" s="32"/>
      <c r="E28" s="29"/>
      <c r="F28" s="26"/>
      <c r="H28" s="14"/>
      <c r="I28" s="14"/>
      <c r="J28" s="14"/>
      <c r="K28" s="14"/>
    </row>
    <row r="29" spans="1:11" ht="12" customHeight="1" thickBot="1">
      <c r="A29" s="22"/>
      <c r="B29" s="324"/>
      <c r="C29" s="310"/>
      <c r="D29" s="25"/>
      <c r="E29" s="42"/>
      <c r="F29" s="43"/>
    </row>
    <row r="30" spans="1:11" ht="27" customHeight="1" thickTop="1" thickBot="1">
      <c r="A30" s="22"/>
      <c r="B30" s="50"/>
      <c r="C30" s="474" t="str">
        <f>+B7</f>
        <v>TRAVAUX PRELIMINAIRES</v>
      </c>
      <c r="D30" s="475"/>
      <c r="E30" s="476"/>
      <c r="F30" s="51"/>
    </row>
    <row r="31" spans="1:11" ht="12" customHeight="1" thickTop="1" thickBot="1">
      <c r="A31" s="22"/>
      <c r="B31" s="393"/>
      <c r="C31" s="423"/>
      <c r="D31" s="11"/>
      <c r="E31" s="460"/>
      <c r="F31" s="425"/>
    </row>
    <row r="32" spans="1:11" ht="12" customHeight="1" thickTop="1">
      <c r="A32" s="419"/>
      <c r="B32" s="483" t="s">
        <v>37</v>
      </c>
      <c r="C32" s="380"/>
      <c r="D32" s="426"/>
      <c r="E32" s="427"/>
      <c r="F32" s="428"/>
    </row>
    <row r="33" spans="1:11" ht="12" customHeight="1">
      <c r="A33" s="419"/>
      <c r="B33" s="484"/>
      <c r="C33" s="380"/>
      <c r="D33" s="426"/>
      <c r="E33" s="427"/>
      <c r="F33" s="428"/>
    </row>
    <row r="34" spans="1:11" ht="12" customHeight="1">
      <c r="A34" s="419"/>
      <c r="B34" s="484"/>
      <c r="C34" s="380"/>
      <c r="D34" s="426" t="s">
        <v>33</v>
      </c>
      <c r="E34" s="427"/>
      <c r="F34" s="428"/>
    </row>
    <row r="35" spans="1:11" ht="12" customHeight="1">
      <c r="A35" s="419"/>
      <c r="B35" s="484"/>
      <c r="C35" s="380"/>
      <c r="D35" s="426"/>
      <c r="E35" s="427"/>
      <c r="F35" s="428"/>
    </row>
    <row r="36" spans="1:11" ht="12" customHeight="1" thickBot="1">
      <c r="A36" s="419"/>
      <c r="B36" s="485"/>
      <c r="C36" s="380"/>
      <c r="D36" s="426"/>
      <c r="E36" s="427"/>
      <c r="F36" s="428"/>
    </row>
    <row r="37" spans="1:11" ht="12" customHeight="1" thickTop="1">
      <c r="A37" s="22"/>
      <c r="B37" s="68"/>
      <c r="C37" s="24"/>
      <c r="D37" s="32"/>
      <c r="E37" s="29"/>
      <c r="F37" s="26"/>
    </row>
    <row r="38" spans="1:11" s="21" customFormat="1" ht="20.100000000000001" customHeight="1">
      <c r="A38" s="348">
        <v>10.3</v>
      </c>
      <c r="B38" s="433" t="s">
        <v>42</v>
      </c>
      <c r="C38" s="434"/>
      <c r="D38" s="435"/>
      <c r="E38" s="461"/>
      <c r="F38" s="462"/>
      <c r="H38" s="14"/>
      <c r="I38" s="14"/>
      <c r="J38" s="14"/>
      <c r="K38" s="14"/>
    </row>
    <row r="39" spans="1:11" ht="15" customHeight="1">
      <c r="A39" s="22"/>
      <c r="B39" s="61" t="s">
        <v>43</v>
      </c>
      <c r="C39" s="69"/>
      <c r="D39" s="32"/>
      <c r="E39" s="308"/>
      <c r="F39" s="327"/>
    </row>
    <row r="40" spans="1:11" s="64" customFormat="1" ht="12" customHeight="1">
      <c r="A40" s="445"/>
      <c r="B40" s="63" t="s">
        <v>592</v>
      </c>
      <c r="C40" s="24" t="s">
        <v>41</v>
      </c>
      <c r="D40" s="32">
        <f>(18.56*4.6)-(2*2.1)</f>
        <v>81.175999999999988</v>
      </c>
      <c r="E40" s="29"/>
      <c r="F40" s="30"/>
      <c r="G40" s="1"/>
      <c r="H40" s="14"/>
      <c r="I40" s="14"/>
      <c r="J40" s="14"/>
      <c r="K40" s="14"/>
    </row>
    <row r="41" spans="1:11" s="64" customFormat="1" ht="12" customHeight="1" thickBot="1">
      <c r="A41" s="445"/>
      <c r="B41" s="463"/>
      <c r="C41" s="83"/>
      <c r="D41" s="77"/>
      <c r="E41" s="84"/>
      <c r="F41" s="79"/>
      <c r="G41" s="1"/>
      <c r="H41" s="14"/>
      <c r="I41" s="14"/>
      <c r="J41" s="14"/>
      <c r="K41" s="14"/>
    </row>
    <row r="42" spans="1:11" ht="27" customHeight="1" thickTop="1" thickBot="1">
      <c r="A42" s="22"/>
      <c r="B42" s="50"/>
      <c r="C42" s="474" t="s">
        <v>52</v>
      </c>
      <c r="D42" s="475"/>
      <c r="E42" s="476"/>
      <c r="F42" s="51"/>
    </row>
    <row r="43" spans="1:11" ht="12" customHeight="1" thickTop="1">
      <c r="A43" s="22"/>
      <c r="B43" s="66"/>
      <c r="C43" s="24"/>
      <c r="D43" s="86"/>
      <c r="E43" s="316"/>
      <c r="F43" s="309"/>
    </row>
    <row r="44" spans="1:11" s="89" customFormat="1" ht="20.100000000000001" customHeight="1">
      <c r="A44" s="348">
        <f>A38+0.1</f>
        <v>10.4</v>
      </c>
      <c r="B44" s="58" t="s">
        <v>53</v>
      </c>
      <c r="C44" s="17"/>
      <c r="D44" s="18"/>
      <c r="E44" s="349"/>
      <c r="F44" s="60"/>
      <c r="H44" s="14"/>
      <c r="I44" s="14"/>
      <c r="J44" s="14"/>
      <c r="K44" s="14"/>
    </row>
    <row r="45" spans="1:11" s="46" customFormat="1" ht="15" customHeight="1">
      <c r="A45" s="22"/>
      <c r="B45" s="61" t="s">
        <v>54</v>
      </c>
      <c r="C45" s="44"/>
      <c r="D45" s="32"/>
      <c r="E45" s="57"/>
      <c r="F45" s="30"/>
      <c r="H45" s="14"/>
      <c r="I45" s="14"/>
      <c r="J45" s="14"/>
      <c r="K45" s="14"/>
    </row>
    <row r="46" spans="1:11" s="1" customFormat="1" ht="12" customHeight="1">
      <c r="A46" s="39"/>
      <c r="B46" s="63" t="s">
        <v>592</v>
      </c>
      <c r="C46" s="24" t="s">
        <v>41</v>
      </c>
      <c r="D46" s="32">
        <v>21.5</v>
      </c>
      <c r="E46" s="29"/>
      <c r="F46" s="30"/>
      <c r="H46" s="14"/>
      <c r="I46" s="14"/>
      <c r="J46" s="14"/>
      <c r="K46" s="14"/>
    </row>
    <row r="47" spans="1:11" s="64" customFormat="1" ht="12" customHeight="1" thickBot="1">
      <c r="A47" s="445"/>
      <c r="B47" s="463"/>
      <c r="C47" s="447"/>
      <c r="D47" s="32"/>
      <c r="E47" s="57"/>
      <c r="F47" s="30"/>
      <c r="H47" s="14"/>
      <c r="I47" s="14"/>
      <c r="J47" s="14"/>
      <c r="K47" s="14"/>
    </row>
    <row r="48" spans="1:11" ht="27" customHeight="1" thickTop="1" thickBot="1">
      <c r="A48" s="22"/>
      <c r="B48" s="50" t="s">
        <v>33</v>
      </c>
      <c r="C48" s="474" t="str">
        <f>+B44</f>
        <v>FAUX PLAFOND</v>
      </c>
      <c r="D48" s="475"/>
      <c r="E48" s="476"/>
      <c r="F48" s="51"/>
    </row>
    <row r="49" spans="1:11" s="46" customFormat="1" ht="12" customHeight="1" thickTop="1" thickBot="1">
      <c r="A49" s="90"/>
      <c r="B49" s="63"/>
      <c r="C49" s="69"/>
      <c r="D49" s="32"/>
      <c r="E49" s="317"/>
      <c r="F49" s="30"/>
      <c r="H49" s="14"/>
      <c r="I49" s="14"/>
      <c r="J49" s="14"/>
      <c r="K49" s="14"/>
    </row>
    <row r="50" spans="1:11" s="46" customFormat="1" ht="30" customHeight="1" thickTop="1" thickBot="1">
      <c r="A50" s="477" t="s">
        <v>63</v>
      </c>
      <c r="B50" s="478"/>
      <c r="C50" s="478"/>
      <c r="D50" s="478"/>
      <c r="E50" s="479"/>
      <c r="F50" s="102"/>
      <c r="H50" s="14"/>
      <c r="I50" s="14"/>
      <c r="J50" s="14"/>
      <c r="K50" s="14"/>
    </row>
    <row r="51" spans="1:11" ht="12" customHeight="1" thickTop="1"/>
    <row r="52" spans="1:11" ht="12" customHeight="1"/>
    <row r="53" spans="1:11" ht="12" customHeight="1">
      <c r="A53" s="107" t="s">
        <v>64</v>
      </c>
      <c r="B53" s="52"/>
    </row>
    <row r="54" spans="1:11" ht="12" customHeight="1"/>
    <row r="55" spans="1:11" ht="12" customHeight="1">
      <c r="D55" s="108"/>
      <c r="E55" s="437"/>
      <c r="F55" s="109"/>
    </row>
    <row r="56" spans="1:11" ht="12" customHeight="1">
      <c r="D56" s="111"/>
      <c r="E56" s="437"/>
      <c r="F56" s="112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</sheetData>
  <mergeCells count="12">
    <mergeCell ref="A50:E50"/>
    <mergeCell ref="A1:F1"/>
    <mergeCell ref="A2:F2"/>
    <mergeCell ref="A3:F3"/>
    <mergeCell ref="A4:F4"/>
    <mergeCell ref="E8:F8"/>
    <mergeCell ref="E9:F9"/>
    <mergeCell ref="E11:F11"/>
    <mergeCell ref="C30:E30"/>
    <mergeCell ref="B32:B36"/>
    <mergeCell ref="C42:E42"/>
    <mergeCell ref="C48:E48"/>
  </mergeCells>
  <conditionalFormatting sqref="E10">
    <cfRule type="cellIs" dxfId="4" priority="1" operator="equal">
      <formula>0</formula>
    </cfRule>
  </conditionalFormatting>
  <conditionalFormatting sqref="E40">
    <cfRule type="cellIs" dxfId="3" priority="3" operator="equal">
      <formula>0</formula>
    </cfRule>
  </conditionalFormatting>
  <conditionalFormatting sqref="E46">
    <cfRule type="cellIs" dxfId="2" priority="2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B96C0-415A-436F-BB3A-A2E7CA946AF3}">
  <sheetPr codeName="Feuil90">
    <pageSetUpPr fitToPage="1"/>
  </sheetPr>
  <dimension ref="A1:G228"/>
  <sheetViews>
    <sheetView tabSelected="1" zoomScaleNormal="100" zoomScaleSheetLayoutView="100" workbookViewId="0">
      <selection activeCell="G22" sqref="G21:G22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06" customWidth="1"/>
    <col min="7" max="7" width="18.5703125" style="14" customWidth="1"/>
    <col min="8" max="16384" width="11.42578125" style="14"/>
  </cols>
  <sheetData>
    <row r="1" spans="1:7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7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7" s="365" customFormat="1" ht="33.950000000000003" customHeight="1" thickTop="1" thickBot="1">
      <c r="A3" s="492" t="s">
        <v>593</v>
      </c>
      <c r="B3" s="493"/>
      <c r="C3" s="493"/>
      <c r="D3" s="493"/>
      <c r="E3" s="493"/>
      <c r="F3" s="494"/>
    </row>
    <row r="4" spans="1:7" customFormat="1" ht="33.950000000000003" customHeight="1" thickTop="1" thickBot="1">
      <c r="A4" s="556" t="s">
        <v>507</v>
      </c>
      <c r="B4" s="557"/>
      <c r="C4" s="557"/>
      <c r="D4" s="557"/>
      <c r="E4" s="557"/>
      <c r="F4" s="558"/>
      <c r="G4" s="1"/>
    </row>
    <row r="5" spans="1:7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7" ht="12" customHeight="1" thickTop="1">
      <c r="A6" s="8"/>
      <c r="B6" s="9"/>
      <c r="C6" s="300"/>
      <c r="D6" s="53"/>
      <c r="E6" s="54"/>
      <c r="F6" s="368"/>
    </row>
    <row r="7" spans="1:7" s="21" customFormat="1" ht="20.100000000000001" customHeight="1">
      <c r="A7" s="15">
        <v>10.1</v>
      </c>
      <c r="B7" s="16" t="s">
        <v>10</v>
      </c>
      <c r="C7" s="17"/>
      <c r="D7" s="18"/>
      <c r="E7" s="320"/>
      <c r="F7" s="60"/>
    </row>
    <row r="8" spans="1:7" s="322" customFormat="1" ht="12" customHeigh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7" s="322" customFormat="1" ht="24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7" ht="12" customHeight="1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7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7" ht="12" customHeight="1">
      <c r="A12" s="304"/>
      <c r="B12" s="23"/>
      <c r="C12" s="24"/>
      <c r="D12" s="370"/>
      <c r="E12" s="29"/>
      <c r="F12" s="26"/>
    </row>
    <row r="13" spans="1:7" customFormat="1" ht="12" customHeight="1">
      <c r="A13" s="39"/>
      <c r="B13" s="40" t="s">
        <v>18</v>
      </c>
      <c r="C13" s="44"/>
      <c r="D13" s="32"/>
      <c r="E13" s="29"/>
      <c r="F13" s="26"/>
      <c r="G13" s="1"/>
    </row>
    <row r="14" spans="1:7" customFormat="1" ht="12" customHeight="1">
      <c r="A14" s="39"/>
      <c r="B14" s="40" t="s">
        <v>508</v>
      </c>
      <c r="C14" s="44"/>
      <c r="D14" s="32"/>
      <c r="E14" s="29"/>
      <c r="F14" s="26"/>
      <c r="G14" s="1"/>
    </row>
    <row r="15" spans="1:7" customFormat="1" ht="12" customHeight="1">
      <c r="A15" s="39"/>
      <c r="B15" s="40" t="s">
        <v>20</v>
      </c>
      <c r="C15" s="44"/>
      <c r="D15" s="32"/>
      <c r="E15" s="29"/>
      <c r="F15" s="26"/>
      <c r="G15" s="1"/>
    </row>
    <row r="16" spans="1:7" customFormat="1" ht="12" customHeight="1">
      <c r="A16" s="39"/>
      <c r="B16" s="40" t="s">
        <v>21</v>
      </c>
      <c r="C16" s="44"/>
      <c r="D16" s="32"/>
      <c r="E16" s="29"/>
      <c r="F16" s="26"/>
      <c r="G16" s="1"/>
    </row>
    <row r="17" spans="1:7" customFormat="1" ht="12" customHeight="1">
      <c r="A17" s="39"/>
      <c r="B17" s="40" t="s">
        <v>22</v>
      </c>
      <c r="C17" s="44"/>
      <c r="D17" s="32"/>
      <c r="E17" s="29"/>
      <c r="F17" s="26"/>
      <c r="G17" s="1"/>
    </row>
    <row r="18" spans="1:7" customFormat="1" ht="12" customHeight="1">
      <c r="A18" s="39"/>
      <c r="B18" s="40" t="s">
        <v>23</v>
      </c>
      <c r="C18" s="44"/>
      <c r="D18" s="32"/>
      <c r="E18" s="29"/>
      <c r="F18" s="26"/>
      <c r="G18" s="1"/>
    </row>
    <row r="19" spans="1:7" customFormat="1" ht="12" customHeight="1">
      <c r="A19" s="39"/>
      <c r="B19" s="40" t="s">
        <v>24</v>
      </c>
      <c r="C19" s="44"/>
      <c r="D19" s="32"/>
      <c r="E19" s="29"/>
      <c r="F19" s="26"/>
      <c r="G19" s="1"/>
    </row>
    <row r="20" spans="1:7" customFormat="1" ht="12" customHeight="1">
      <c r="A20" s="39"/>
      <c r="B20" s="40" t="s">
        <v>509</v>
      </c>
      <c r="C20" s="44"/>
      <c r="D20" s="32"/>
      <c r="E20" s="29"/>
      <c r="F20" s="26"/>
      <c r="G20" s="1"/>
    </row>
    <row r="21" spans="1:7" customFormat="1" ht="12" customHeight="1">
      <c r="A21" s="39"/>
      <c r="B21" s="40" t="s">
        <v>26</v>
      </c>
      <c r="C21" s="44"/>
      <c r="D21" s="32"/>
      <c r="E21" s="29"/>
      <c r="F21" s="26"/>
      <c r="G21" s="1"/>
    </row>
    <row r="22" spans="1:7" customFormat="1" ht="12" customHeight="1">
      <c r="A22" s="39"/>
      <c r="B22" s="40" t="s">
        <v>27</v>
      </c>
      <c r="C22" s="44"/>
      <c r="D22" s="32"/>
      <c r="E22" s="29"/>
      <c r="F22" s="26"/>
      <c r="G22" s="1"/>
    </row>
    <row r="23" spans="1:7" customFormat="1" ht="12" customHeight="1">
      <c r="A23" s="39"/>
      <c r="B23" s="40" t="s">
        <v>510</v>
      </c>
      <c r="C23" s="44"/>
      <c r="D23" s="32"/>
      <c r="E23" s="29"/>
      <c r="F23" s="26"/>
      <c r="G23" s="1"/>
    </row>
    <row r="24" spans="1:7" customFormat="1" ht="12" customHeight="1">
      <c r="A24" s="39"/>
      <c r="B24" s="40" t="s">
        <v>29</v>
      </c>
      <c r="C24" s="44"/>
      <c r="D24" s="32"/>
      <c r="E24" s="29"/>
      <c r="F24" s="26"/>
      <c r="G24" s="1"/>
    </row>
    <row r="25" spans="1:7" customFormat="1" ht="12" customHeight="1">
      <c r="A25" s="39"/>
      <c r="B25" s="40" t="s">
        <v>31</v>
      </c>
      <c r="C25" s="44"/>
      <c r="D25" s="32"/>
      <c r="E25" s="29"/>
      <c r="F25" s="26"/>
      <c r="G25" s="1"/>
    </row>
    <row r="26" spans="1:7" customFormat="1" ht="12" customHeight="1">
      <c r="A26" s="39"/>
      <c r="B26" s="40" t="s">
        <v>32</v>
      </c>
      <c r="C26" s="44"/>
      <c r="D26" s="32"/>
      <c r="E26" s="29"/>
      <c r="F26" s="26"/>
      <c r="G26" s="1"/>
    </row>
    <row r="27" spans="1:7" customFormat="1" ht="12" customHeight="1">
      <c r="A27" s="39"/>
      <c r="B27" s="40" t="s">
        <v>34</v>
      </c>
      <c r="C27" s="44"/>
      <c r="D27" s="32"/>
      <c r="E27" s="29"/>
      <c r="F27" s="26"/>
      <c r="G27" s="1"/>
    </row>
    <row r="28" spans="1:7" customFormat="1" ht="12" customHeight="1">
      <c r="A28" s="39"/>
      <c r="B28" s="40" t="s">
        <v>35</v>
      </c>
      <c r="C28" s="44"/>
      <c r="D28" s="32"/>
      <c r="E28" s="29"/>
      <c r="F28" s="26"/>
      <c r="G28" s="1"/>
    </row>
    <row r="29" spans="1:7" ht="12" customHeight="1" thickBot="1">
      <c r="A29" s="22"/>
      <c r="B29" s="324"/>
      <c r="C29" s="83"/>
      <c r="D29" s="77"/>
      <c r="E29" s="78"/>
      <c r="F29" s="464"/>
    </row>
    <row r="30" spans="1:7" ht="27" customHeight="1" thickTop="1" thickBot="1">
      <c r="A30" s="22"/>
      <c r="B30" s="50"/>
      <c r="C30" s="474" t="s">
        <v>10</v>
      </c>
      <c r="D30" s="475"/>
      <c r="E30" s="476"/>
      <c r="F30" s="51"/>
    </row>
    <row r="31" spans="1:7" ht="12" customHeight="1" thickTop="1" thickBot="1">
      <c r="A31" s="22"/>
      <c r="B31" s="393"/>
      <c r="C31" s="423"/>
      <c r="D31" s="383"/>
      <c r="E31" s="465"/>
      <c r="F31" s="466"/>
    </row>
    <row r="32" spans="1:7" ht="12" customHeight="1" thickTop="1">
      <c r="A32" s="419"/>
      <c r="B32" s="483" t="s">
        <v>37</v>
      </c>
      <c r="C32" s="380"/>
      <c r="D32" s="426"/>
      <c r="E32" s="427"/>
      <c r="F32" s="38"/>
    </row>
    <row r="33" spans="1:7" ht="12" customHeight="1">
      <c r="A33" s="419"/>
      <c r="B33" s="484"/>
      <c r="C33" s="380"/>
      <c r="D33" s="426"/>
      <c r="E33" s="427"/>
      <c r="F33" s="38"/>
    </row>
    <row r="34" spans="1:7" ht="12" customHeight="1">
      <c r="A34" s="419"/>
      <c r="B34" s="484"/>
      <c r="C34" s="380"/>
      <c r="D34" s="426" t="s">
        <v>33</v>
      </c>
      <c r="E34" s="427"/>
      <c r="F34" s="38"/>
    </row>
    <row r="35" spans="1:7" ht="12" customHeight="1">
      <c r="A35" s="419"/>
      <c r="B35" s="484"/>
      <c r="C35" s="380"/>
      <c r="D35" s="426"/>
      <c r="E35" s="427" t="s">
        <v>33</v>
      </c>
      <c r="F35" s="38"/>
    </row>
    <row r="36" spans="1:7" ht="12" customHeight="1" thickBot="1">
      <c r="A36" s="419"/>
      <c r="B36" s="485"/>
      <c r="C36" s="380"/>
      <c r="D36" s="426" t="s">
        <v>33</v>
      </c>
      <c r="E36" s="427"/>
      <c r="F36" s="38"/>
    </row>
    <row r="37" spans="1:7" ht="12" customHeight="1" thickTop="1">
      <c r="A37" s="22"/>
      <c r="B37" s="68"/>
      <c r="C37" s="24"/>
      <c r="D37" s="32"/>
      <c r="E37" s="29" t="s">
        <v>33</v>
      </c>
      <c r="F37" s="30"/>
    </row>
    <row r="38" spans="1:7" s="89" customFormat="1" ht="20.100000000000001" customHeight="1">
      <c r="A38" s="348">
        <v>10.4</v>
      </c>
      <c r="B38" s="58" t="s">
        <v>53</v>
      </c>
      <c r="C38" s="17"/>
      <c r="D38" s="18" t="s">
        <v>33</v>
      </c>
      <c r="E38" s="349" t="s">
        <v>33</v>
      </c>
      <c r="F38" s="60"/>
    </row>
    <row r="39" spans="1:7" s="46" customFormat="1" ht="15" customHeight="1">
      <c r="A39" s="22"/>
      <c r="B39" s="61" t="s">
        <v>54</v>
      </c>
      <c r="C39" s="44"/>
      <c r="D39" s="32"/>
      <c r="E39" s="57"/>
      <c r="F39" s="30"/>
    </row>
    <row r="40" spans="1:7" s="64" customFormat="1" ht="12" customHeight="1">
      <c r="A40" s="39"/>
      <c r="B40" s="63" t="s">
        <v>594</v>
      </c>
      <c r="C40" s="24" t="s">
        <v>41</v>
      </c>
      <c r="D40" s="32">
        <v>15</v>
      </c>
      <c r="E40" s="29"/>
      <c r="F40" s="30"/>
    </row>
    <row r="41" spans="1:7" s="64" customFormat="1" ht="12" customHeight="1">
      <c r="A41" s="39"/>
      <c r="B41" s="63" t="s">
        <v>595</v>
      </c>
      <c r="C41" s="24" t="s">
        <v>41</v>
      </c>
      <c r="D41" s="32">
        <v>15</v>
      </c>
      <c r="E41" s="29"/>
      <c r="F41" s="30"/>
    </row>
    <row r="42" spans="1:7" s="64" customFormat="1" ht="12" customHeight="1">
      <c r="A42" s="39"/>
      <c r="B42" s="63" t="s">
        <v>33</v>
      </c>
      <c r="C42" s="24"/>
      <c r="D42" s="32"/>
      <c r="E42" s="349"/>
      <c r="F42" s="30"/>
      <c r="G42" s="1"/>
    </row>
    <row r="43" spans="1:7" s="46" customFormat="1" ht="12.75">
      <c r="A43" s="22"/>
      <c r="B43" s="61" t="s">
        <v>132</v>
      </c>
      <c r="C43" s="24"/>
      <c r="D43" s="32"/>
      <c r="E43" s="349"/>
      <c r="F43" s="30"/>
    </row>
    <row r="44" spans="1:7" s="64" customFormat="1" ht="12" customHeight="1">
      <c r="A44" s="39"/>
      <c r="B44" s="63" t="s">
        <v>133</v>
      </c>
      <c r="C44" s="24" t="s">
        <v>41</v>
      </c>
      <c r="D44" s="32">
        <v>20.58</v>
      </c>
      <c r="E44" s="29"/>
      <c r="F44" s="30"/>
    </row>
    <row r="45" spans="1:7" s="64" customFormat="1" ht="12" customHeight="1">
      <c r="A45" s="39"/>
      <c r="B45" s="63" t="s">
        <v>596</v>
      </c>
      <c r="C45" s="24" t="s">
        <v>41</v>
      </c>
      <c r="D45" s="32">
        <v>7.86</v>
      </c>
      <c r="E45" s="29"/>
      <c r="F45" s="30"/>
    </row>
    <row r="46" spans="1:7" s="64" customFormat="1" ht="12" customHeight="1">
      <c r="A46" s="39"/>
      <c r="B46" s="63" t="s">
        <v>597</v>
      </c>
      <c r="C46" s="24" t="s">
        <v>41</v>
      </c>
      <c r="D46" s="32">
        <v>4</v>
      </c>
      <c r="E46" s="29"/>
      <c r="F46" s="30"/>
    </row>
    <row r="47" spans="1:7" s="64" customFormat="1" ht="12" customHeight="1">
      <c r="A47" s="39"/>
      <c r="B47" s="63" t="s">
        <v>598</v>
      </c>
      <c r="C47" s="24" t="s">
        <v>41</v>
      </c>
      <c r="D47" s="32">
        <v>4</v>
      </c>
      <c r="E47" s="29"/>
      <c r="F47" s="30"/>
    </row>
    <row r="48" spans="1:7" s="64" customFormat="1" ht="12" customHeight="1">
      <c r="A48" s="39"/>
      <c r="B48" s="63"/>
      <c r="C48" s="24"/>
      <c r="D48" s="32"/>
      <c r="E48" s="349"/>
      <c r="F48" s="30"/>
    </row>
    <row r="49" spans="1:7" s="46" customFormat="1" ht="12.75">
      <c r="A49" s="22"/>
      <c r="B49" s="61" t="s">
        <v>599</v>
      </c>
      <c r="C49" s="24"/>
      <c r="D49" s="32"/>
      <c r="E49" s="349"/>
      <c r="F49" s="30"/>
    </row>
    <row r="50" spans="1:7" s="64" customFormat="1" ht="12" customHeight="1">
      <c r="A50" s="39"/>
      <c r="B50" s="63" t="s">
        <v>600</v>
      </c>
      <c r="C50" s="24" t="s">
        <v>41</v>
      </c>
      <c r="D50" s="32">
        <v>16.8</v>
      </c>
      <c r="E50" s="29"/>
      <c r="F50" s="30"/>
    </row>
    <row r="51" spans="1:7" s="64" customFormat="1" ht="12" customHeight="1">
      <c r="A51" s="39"/>
      <c r="B51" s="63" t="s">
        <v>601</v>
      </c>
      <c r="C51" s="24" t="s">
        <v>41</v>
      </c>
      <c r="D51" s="32">
        <v>20</v>
      </c>
      <c r="E51" s="29"/>
      <c r="F51" s="30"/>
    </row>
    <row r="52" spans="1:7" s="64" customFormat="1" ht="12" customHeight="1">
      <c r="A52" s="39"/>
      <c r="B52" s="63" t="s">
        <v>602</v>
      </c>
      <c r="C52" s="24" t="s">
        <v>41</v>
      </c>
      <c r="D52" s="32">
        <v>103.56</v>
      </c>
      <c r="E52" s="29"/>
      <c r="F52" s="30"/>
    </row>
    <row r="53" spans="1:7" s="64" customFormat="1" ht="12" customHeight="1">
      <c r="A53" s="39"/>
      <c r="B53" s="63" t="s">
        <v>88</v>
      </c>
      <c r="C53" s="24" t="s">
        <v>41</v>
      </c>
      <c r="D53" s="32">
        <v>87.29</v>
      </c>
      <c r="E53" s="29"/>
      <c r="F53" s="30"/>
    </row>
    <row r="54" spans="1:7" s="64" customFormat="1" ht="12" customHeight="1" thickBot="1">
      <c r="A54" s="163"/>
      <c r="B54" s="75" t="s">
        <v>33</v>
      </c>
      <c r="C54" s="83"/>
      <c r="D54" s="77"/>
      <c r="E54" s="413"/>
      <c r="F54" s="79"/>
      <c r="G54" s="1"/>
    </row>
    <row r="55" spans="1:7" s="46" customFormat="1" ht="15" customHeight="1" thickTop="1">
      <c r="A55" s="8"/>
      <c r="B55" s="407" t="s">
        <v>587</v>
      </c>
      <c r="C55" s="10"/>
      <c r="D55" s="11"/>
      <c r="E55" s="414"/>
      <c r="F55" s="13"/>
    </row>
    <row r="56" spans="1:7" s="64" customFormat="1" ht="12" customHeight="1">
      <c r="A56" s="39"/>
      <c r="B56" s="63" t="s">
        <v>603</v>
      </c>
      <c r="C56" s="24" t="s">
        <v>41</v>
      </c>
      <c r="D56" s="32">
        <v>20.16</v>
      </c>
      <c r="E56" s="29"/>
      <c r="F56" s="30"/>
    </row>
    <row r="57" spans="1:7" s="64" customFormat="1" ht="12" customHeight="1">
      <c r="A57" s="39"/>
      <c r="B57" s="63" t="s">
        <v>604</v>
      </c>
      <c r="C57" s="24" t="s">
        <v>41</v>
      </c>
      <c r="D57" s="32">
        <v>12</v>
      </c>
      <c r="E57" s="29"/>
      <c r="F57" s="30"/>
    </row>
    <row r="58" spans="1:7" s="1" customFormat="1" ht="12" customHeight="1" thickBot="1">
      <c r="A58" s="39"/>
      <c r="B58" s="81"/>
      <c r="C58" s="24"/>
      <c r="D58" s="25"/>
      <c r="E58" s="311"/>
      <c r="F58" s="359"/>
    </row>
    <row r="59" spans="1:7" ht="27" customHeight="1" thickTop="1" thickBot="1">
      <c r="A59" s="22"/>
      <c r="B59" s="50" t="s">
        <v>33</v>
      </c>
      <c r="C59" s="474" t="str">
        <f>+B38</f>
        <v>FAUX PLAFOND</v>
      </c>
      <c r="D59" s="475"/>
      <c r="E59" s="476"/>
      <c r="F59" s="51"/>
    </row>
    <row r="60" spans="1:7" s="46" customFormat="1" ht="12" customHeight="1" thickTop="1" thickBot="1">
      <c r="A60" s="90"/>
      <c r="B60" s="63"/>
      <c r="C60" s="69"/>
      <c r="D60" s="32"/>
      <c r="E60" s="317"/>
      <c r="F60" s="30"/>
    </row>
    <row r="61" spans="1:7" s="46" customFormat="1" ht="30" customHeight="1" thickTop="1" thickBot="1">
      <c r="A61" s="477" t="s">
        <v>63</v>
      </c>
      <c r="B61" s="478"/>
      <c r="C61" s="478"/>
      <c r="D61" s="478"/>
      <c r="E61" s="479"/>
      <c r="F61" s="102"/>
    </row>
    <row r="62" spans="1:7" ht="12" customHeight="1" thickTop="1"/>
    <row r="63" spans="1:7" ht="12" customHeight="1"/>
    <row r="64" spans="1:7" ht="12" customHeight="1">
      <c r="A64" s="107" t="s">
        <v>64</v>
      </c>
      <c r="B64" s="52"/>
      <c r="D64" s="14"/>
      <c r="E64" s="14"/>
      <c r="F64" s="14"/>
    </row>
    <row r="65" spans="4:6" ht="12" customHeight="1">
      <c r="D65" s="14"/>
      <c r="E65" s="14"/>
      <c r="F65" s="14"/>
    </row>
    <row r="66" spans="4:6" ht="12" customHeight="1">
      <c r="D66" s="14"/>
      <c r="E66" s="14"/>
      <c r="F66" s="14"/>
    </row>
    <row r="67" spans="4:6" ht="12" customHeight="1">
      <c r="D67" s="14"/>
      <c r="E67" s="14"/>
      <c r="F67" s="14"/>
    </row>
    <row r="68" spans="4:6" ht="12" customHeight="1">
      <c r="D68" s="14"/>
      <c r="E68" s="14"/>
      <c r="F68" s="14"/>
    </row>
    <row r="69" spans="4:6" ht="12" customHeight="1">
      <c r="D69" s="14"/>
      <c r="E69" s="14"/>
      <c r="F69" s="14"/>
    </row>
    <row r="70" spans="4:6" ht="12" customHeight="1"/>
    <row r="71" spans="4:6" ht="12" customHeight="1"/>
    <row r="72" spans="4:6" ht="12" customHeight="1"/>
    <row r="73" spans="4:6" ht="12" customHeight="1"/>
    <row r="74" spans="4:6" ht="12" customHeight="1"/>
    <row r="75" spans="4:6" ht="12" customHeight="1"/>
    <row r="76" spans="4:6" ht="12" customHeight="1"/>
    <row r="77" spans="4:6" ht="12" customHeight="1"/>
    <row r="78" spans="4:6" ht="12" customHeight="1"/>
    <row r="79" spans="4:6" ht="12" customHeight="1"/>
    <row r="80" spans="4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</sheetData>
  <mergeCells count="11">
    <mergeCell ref="E9:F9"/>
    <mergeCell ref="A1:F1"/>
    <mergeCell ref="A2:F2"/>
    <mergeCell ref="A3:F3"/>
    <mergeCell ref="A4:F4"/>
    <mergeCell ref="E8:F8"/>
    <mergeCell ref="E11:F11"/>
    <mergeCell ref="C30:E30"/>
    <mergeCell ref="B32:B36"/>
    <mergeCell ref="C59:E59"/>
    <mergeCell ref="A61:E61"/>
  </mergeCells>
  <conditionalFormatting sqref="E10">
    <cfRule type="cellIs" dxfId="1" priority="2" operator="equal">
      <formula>0</formula>
    </cfRule>
  </conditionalFormatting>
  <conditionalFormatting sqref="E40:E41 E44:E47 E50:E53 E56:E57">
    <cfRule type="cellIs" dxfId="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 ,Normal"&amp;5DPGF - LOT 10: PLAT-FAUX PLAF-ISO-CLOIS&amp;C&amp;"Arial ,Normal"&amp;5MMW ARCHITECTURE - ARCHIFALE - SIGMA INGENIERIE - STRUCTURE CONCEPT - INGENC - GEOME - ES2  -&amp;R&amp;"Arial ,Normal"&amp;5 LYCEE DE WALLIS ET FUTUNA - Page &amp;P/&amp;N</oddFooter>
  </headerFooter>
  <rowBreaks count="1" manualBreakCount="1">
    <brk id="5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6045F-7D8E-458D-9B8D-856BC86F3B79}">
  <sheetPr codeName="Feuil70">
    <pageSetUpPr fitToPage="1"/>
  </sheetPr>
  <dimension ref="A1:H154"/>
  <sheetViews>
    <sheetView topLeftCell="A125" zoomScaleNormal="100" zoomScaleSheetLayoutView="100" workbookViewId="0">
      <selection activeCell="K147" sqref="K147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6.5703125" style="297" bestFit="1" customWidth="1"/>
    <col min="6" max="6" width="17.7109375" style="106" customWidth="1"/>
    <col min="7" max="16384" width="11.42578125" style="14"/>
  </cols>
  <sheetData>
    <row r="1" spans="1:6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customFormat="1" ht="33.950000000000003" customHeight="1" thickTop="1" thickBot="1">
      <c r="A3" s="489" t="s">
        <v>150</v>
      </c>
      <c r="B3" s="490"/>
      <c r="C3" s="490"/>
      <c r="D3" s="490"/>
      <c r="E3" s="490"/>
      <c r="F3" s="491"/>
    </row>
    <row r="4" spans="1:6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6" customFormat="1" ht="24.95" customHeight="1" thickTop="1" thickBot="1">
      <c r="A5" s="203" t="s">
        <v>4</v>
      </c>
      <c r="B5" s="204" t="s">
        <v>5</v>
      </c>
      <c r="C5" s="204" t="s">
        <v>6</v>
      </c>
      <c r="D5" s="205" t="s">
        <v>7</v>
      </c>
      <c r="E5" s="206" t="s">
        <v>8</v>
      </c>
      <c r="F5" s="207" t="s">
        <v>9</v>
      </c>
    </row>
    <row r="6" spans="1:6" ht="12.75" thickTop="1">
      <c r="A6" s="208"/>
      <c r="B6" s="209"/>
      <c r="C6" s="210"/>
      <c r="D6" s="211"/>
      <c r="E6" s="212"/>
      <c r="F6" s="213"/>
    </row>
    <row r="7" spans="1:6" s="21" customFormat="1" ht="20.100000000000001" customHeight="1">
      <c r="A7" s="214">
        <v>10.1</v>
      </c>
      <c r="B7" s="215" t="s">
        <v>10</v>
      </c>
      <c r="C7" s="216"/>
      <c r="D7" s="217"/>
      <c r="E7" s="218"/>
      <c r="F7" s="219"/>
    </row>
    <row r="8" spans="1:6" customFormat="1" ht="12" customHeight="1">
      <c r="A8" s="220">
        <f>+A7+0.001</f>
        <v>10.100999999999999</v>
      </c>
      <c r="B8" s="221" t="s">
        <v>11</v>
      </c>
      <c r="C8" s="222" t="s">
        <v>12</v>
      </c>
      <c r="D8" s="223">
        <v>1</v>
      </c>
      <c r="E8" s="522" t="s">
        <v>15</v>
      </c>
      <c r="F8" s="523"/>
    </row>
    <row r="9" spans="1:6" customFormat="1" ht="24">
      <c r="A9" s="220">
        <f>+A8+0.001</f>
        <v>10.101999999999999</v>
      </c>
      <c r="B9" s="221" t="s">
        <v>14</v>
      </c>
      <c r="C9" s="222" t="s">
        <v>12</v>
      </c>
      <c r="D9" s="223">
        <v>1</v>
      </c>
      <c r="E9" s="522" t="s">
        <v>67</v>
      </c>
      <c r="F9" s="523"/>
    </row>
    <row r="10" spans="1:6" customFormat="1" ht="12" customHeight="1">
      <c r="A10" s="220">
        <f>+A9+0.001</f>
        <v>10.102999999999998</v>
      </c>
      <c r="B10" s="221" t="s">
        <v>68</v>
      </c>
      <c r="C10" s="222" t="s">
        <v>12</v>
      </c>
      <c r="D10" s="225">
        <v>1</v>
      </c>
      <c r="E10" s="29"/>
      <c r="F10" s="226"/>
    </row>
    <row r="11" spans="1:6" customFormat="1" ht="12" customHeight="1">
      <c r="A11" s="220">
        <f>+A10+0.001</f>
        <v>10.103999999999997</v>
      </c>
      <c r="B11" s="227" t="s">
        <v>17</v>
      </c>
      <c r="C11" s="222" t="s">
        <v>12</v>
      </c>
      <c r="D11" s="223">
        <v>1</v>
      </c>
      <c r="E11" s="522" t="s">
        <v>13</v>
      </c>
      <c r="F11" s="523"/>
    </row>
    <row r="12" spans="1:6" customFormat="1" ht="12" customHeight="1">
      <c r="A12" s="220"/>
      <c r="B12" s="228"/>
      <c r="C12" s="222"/>
      <c r="D12" s="223"/>
      <c r="E12" s="229"/>
      <c r="F12" s="226"/>
    </row>
    <row r="13" spans="1:6" customFormat="1" ht="12" customHeight="1">
      <c r="A13" s="230"/>
      <c r="B13" s="231" t="s">
        <v>18</v>
      </c>
      <c r="C13" s="232"/>
      <c r="D13" s="233"/>
      <c r="E13" s="234"/>
      <c r="F13" s="235"/>
    </row>
    <row r="14" spans="1:6" customFormat="1" ht="12" customHeight="1">
      <c r="A14" s="230"/>
      <c r="B14" s="231" t="s">
        <v>19</v>
      </c>
      <c r="C14" s="232"/>
      <c r="D14" s="233"/>
      <c r="E14" s="234"/>
      <c r="F14" s="235"/>
    </row>
    <row r="15" spans="1:6" customFormat="1" ht="12" customHeight="1">
      <c r="A15" s="230"/>
      <c r="B15" s="231" t="s">
        <v>20</v>
      </c>
      <c r="C15" s="232"/>
      <c r="D15" s="233"/>
      <c r="E15" s="234"/>
      <c r="F15" s="235"/>
    </row>
    <row r="16" spans="1:6" customFormat="1" ht="12" customHeight="1">
      <c r="A16" s="230"/>
      <c r="B16" s="231" t="s">
        <v>21</v>
      </c>
      <c r="C16" s="236"/>
      <c r="D16" s="223"/>
      <c r="E16" s="237"/>
      <c r="F16" s="224"/>
    </row>
    <row r="17" spans="1:6" customFormat="1" ht="12" customHeight="1">
      <c r="A17" s="230"/>
      <c r="B17" s="231" t="s">
        <v>22</v>
      </c>
      <c r="C17" s="232"/>
      <c r="D17" s="233"/>
      <c r="E17" s="234"/>
      <c r="F17" s="235"/>
    </row>
    <row r="18" spans="1:6" customFormat="1" ht="12" customHeight="1">
      <c r="A18" s="230"/>
      <c r="B18" s="231" t="s">
        <v>23</v>
      </c>
      <c r="C18" s="232"/>
      <c r="D18" s="233"/>
      <c r="E18" s="234"/>
      <c r="F18" s="235"/>
    </row>
    <row r="19" spans="1:6" customFormat="1" ht="12" customHeight="1">
      <c r="A19" s="230"/>
      <c r="B19" s="231" t="s">
        <v>24</v>
      </c>
      <c r="C19" s="232"/>
      <c r="D19" s="233"/>
      <c r="E19" s="234"/>
      <c r="F19" s="235"/>
    </row>
    <row r="20" spans="1:6" customFormat="1" ht="12" customHeight="1">
      <c r="A20" s="230"/>
      <c r="B20" s="231" t="s">
        <v>25</v>
      </c>
      <c r="C20" s="232"/>
      <c r="D20" s="233"/>
      <c r="E20" s="234"/>
      <c r="F20" s="235"/>
    </row>
    <row r="21" spans="1:6" customFormat="1" ht="12" customHeight="1">
      <c r="A21" s="230"/>
      <c r="B21" s="231" t="s">
        <v>26</v>
      </c>
      <c r="C21" s="232"/>
      <c r="D21" s="233"/>
      <c r="E21" s="234"/>
      <c r="F21" s="235"/>
    </row>
    <row r="22" spans="1:6" customFormat="1" ht="12" customHeight="1">
      <c r="A22" s="230"/>
      <c r="B22" s="231" t="s">
        <v>27</v>
      </c>
      <c r="C22" s="232"/>
      <c r="D22" s="233"/>
      <c r="E22" s="234"/>
      <c r="F22" s="235"/>
    </row>
    <row r="23" spans="1:6" customFormat="1" ht="12" customHeight="1">
      <c r="A23" s="230"/>
      <c r="B23" s="231" t="s">
        <v>28</v>
      </c>
      <c r="C23" s="232"/>
      <c r="D23" s="233"/>
      <c r="E23" s="234"/>
      <c r="F23" s="235"/>
    </row>
    <row r="24" spans="1:6" customFormat="1" ht="12" customHeight="1">
      <c r="A24" s="230"/>
      <c r="B24" s="231" t="s">
        <v>29</v>
      </c>
      <c r="C24" s="232"/>
      <c r="D24" s="233"/>
      <c r="E24" s="234"/>
      <c r="F24" s="235"/>
    </row>
    <row r="25" spans="1:6" customFormat="1" ht="12" customHeight="1">
      <c r="A25" s="230"/>
      <c r="B25" s="231" t="s">
        <v>30</v>
      </c>
      <c r="C25" s="232"/>
      <c r="D25" s="233"/>
      <c r="E25" s="234"/>
      <c r="F25" s="235"/>
    </row>
    <row r="26" spans="1:6" customFormat="1" ht="12" customHeight="1">
      <c r="A26" s="230"/>
      <c r="B26" s="231" t="s">
        <v>31</v>
      </c>
      <c r="C26" s="232"/>
      <c r="D26" s="233"/>
      <c r="E26" s="234"/>
      <c r="F26" s="235"/>
    </row>
    <row r="27" spans="1:6" customFormat="1" ht="12" customHeight="1">
      <c r="A27" s="230"/>
      <c r="B27" s="231" t="s">
        <v>32</v>
      </c>
      <c r="C27" s="232"/>
      <c r="D27" s="233"/>
      <c r="E27" s="234"/>
      <c r="F27" s="235"/>
    </row>
    <row r="28" spans="1:6" customFormat="1" ht="12" customHeight="1">
      <c r="A28" s="230"/>
      <c r="B28" s="231" t="s">
        <v>34</v>
      </c>
      <c r="C28" s="232"/>
      <c r="D28" s="233"/>
      <c r="E28" s="234"/>
      <c r="F28" s="235"/>
    </row>
    <row r="29" spans="1:6" customFormat="1" ht="12" customHeight="1">
      <c r="A29" s="230"/>
      <c r="B29" s="231" t="s">
        <v>35</v>
      </c>
      <c r="C29" s="232"/>
      <c r="D29" s="233"/>
      <c r="E29" s="234"/>
      <c r="F29" s="235"/>
    </row>
    <row r="30" spans="1:6" customFormat="1" ht="12" customHeight="1">
      <c r="A30" s="230"/>
      <c r="B30" s="231" t="s">
        <v>36</v>
      </c>
      <c r="C30" s="232"/>
      <c r="D30" s="233"/>
      <c r="E30" s="234"/>
      <c r="F30" s="235"/>
    </row>
    <row r="31" spans="1:6" s="64" customFormat="1" ht="15.75" thickBot="1">
      <c r="A31" s="220"/>
      <c r="B31" s="238"/>
      <c r="C31" s="222"/>
      <c r="D31" s="239"/>
      <c r="E31" s="240"/>
      <c r="F31" s="241"/>
    </row>
    <row r="32" spans="1:6" ht="27" customHeight="1" thickTop="1" thickBot="1">
      <c r="A32" s="220"/>
      <c r="B32" s="242"/>
      <c r="C32" s="524" t="str">
        <f>B7</f>
        <v>TRAVAUX PRELIMINAIRES</v>
      </c>
      <c r="D32" s="525"/>
      <c r="E32" s="526"/>
      <c r="F32" s="243"/>
    </row>
    <row r="33" spans="1:8" s="1" customFormat="1" ht="16.5" thickTop="1" thickBot="1">
      <c r="A33" s="230"/>
      <c r="B33" s="244"/>
      <c r="C33" s="236"/>
      <c r="D33" s="211"/>
      <c r="E33" s="212"/>
      <c r="F33" s="245"/>
    </row>
    <row r="34" spans="1:8" s="1" customFormat="1" ht="15.75" customHeight="1" thickTop="1">
      <c r="A34" s="230"/>
      <c r="B34" s="527" t="s">
        <v>37</v>
      </c>
      <c r="C34" s="236"/>
      <c r="D34" s="223"/>
      <c r="E34" s="237"/>
      <c r="F34" s="224"/>
    </row>
    <row r="35" spans="1:8" s="1" customFormat="1" ht="15">
      <c r="A35" s="230"/>
      <c r="B35" s="528"/>
      <c r="C35" s="236"/>
      <c r="D35" s="223"/>
      <c r="E35" s="237"/>
      <c r="F35" s="224"/>
    </row>
    <row r="36" spans="1:8" s="1" customFormat="1" ht="15">
      <c r="A36" s="230"/>
      <c r="B36" s="528"/>
      <c r="C36" s="236"/>
      <c r="D36" s="223"/>
      <c r="E36" s="237"/>
      <c r="F36" s="224"/>
    </row>
    <row r="37" spans="1:8" s="1" customFormat="1" ht="15" customHeight="1">
      <c r="A37" s="230" t="s">
        <v>33</v>
      </c>
      <c r="B37" s="528"/>
      <c r="C37" s="236"/>
      <c r="D37" s="223"/>
      <c r="E37" s="237"/>
      <c r="F37" s="224"/>
    </row>
    <row r="38" spans="1:8" s="1" customFormat="1" ht="15.75" thickBot="1">
      <c r="A38" s="230"/>
      <c r="B38" s="529"/>
      <c r="C38" s="236"/>
      <c r="D38" s="223"/>
      <c r="E38" s="237"/>
      <c r="F38" s="224"/>
    </row>
    <row r="39" spans="1:8" s="1" customFormat="1" ht="15.75" thickTop="1">
      <c r="A39" s="230"/>
      <c r="B39" s="228"/>
      <c r="C39" s="236"/>
      <c r="D39" s="223"/>
      <c r="E39" s="246"/>
      <c r="F39" s="226"/>
      <c r="H39" s="1" t="s">
        <v>33</v>
      </c>
    </row>
    <row r="40" spans="1:8" s="249" customFormat="1" ht="12.75">
      <c r="A40" s="214">
        <f>A7+0.1</f>
        <v>10.199999999999999</v>
      </c>
      <c r="B40" s="215" t="s">
        <v>38</v>
      </c>
      <c r="C40" s="216"/>
      <c r="D40" s="223"/>
      <c r="E40" s="247"/>
      <c r="F40" s="248"/>
    </row>
    <row r="41" spans="1:8" s="252" customFormat="1" ht="15" customHeight="1">
      <c r="A41" s="220">
        <f>A40+0.001</f>
        <v>10.200999999999999</v>
      </c>
      <c r="B41" s="250" t="s">
        <v>39</v>
      </c>
      <c r="C41" s="222"/>
      <c r="D41" s="223"/>
      <c r="E41" s="251" t="s">
        <v>33</v>
      </c>
      <c r="F41" s="226"/>
    </row>
    <row r="42" spans="1:8" s="64" customFormat="1" ht="12" customHeight="1">
      <c r="A42" s="230"/>
      <c r="B42" s="238" t="s">
        <v>151</v>
      </c>
      <c r="C42" s="222" t="s">
        <v>41</v>
      </c>
      <c r="D42" s="223">
        <v>1194.25</v>
      </c>
      <c r="E42" s="29"/>
      <c r="F42" s="226"/>
      <c r="G42" s="252"/>
    </row>
    <row r="43" spans="1:8" s="252" customFormat="1" ht="12.75" thickBot="1">
      <c r="A43" s="220"/>
      <c r="B43" s="253"/>
      <c r="C43" s="222"/>
      <c r="D43" s="254"/>
      <c r="E43" s="255"/>
      <c r="F43" s="226"/>
    </row>
    <row r="44" spans="1:8" ht="27" customHeight="1" thickTop="1" thickBot="1">
      <c r="A44" s="220"/>
      <c r="B44" s="256"/>
      <c r="C44" s="516" t="str">
        <f>B40</f>
        <v>DEMOLITION - DEPOSE</v>
      </c>
      <c r="D44" s="517"/>
      <c r="E44" s="518"/>
      <c r="F44" s="243"/>
    </row>
    <row r="45" spans="1:8" ht="12.75" thickTop="1">
      <c r="A45" s="220"/>
      <c r="B45" s="257"/>
      <c r="C45" s="222"/>
      <c r="D45" s="211"/>
      <c r="E45" s="258"/>
      <c r="F45" s="226"/>
    </row>
    <row r="46" spans="1:8" s="21" customFormat="1" ht="12.75">
      <c r="A46" s="214">
        <f>A40+0.1</f>
        <v>10.299999999999999</v>
      </c>
      <c r="B46" s="215" t="s">
        <v>42</v>
      </c>
      <c r="C46" s="216"/>
      <c r="D46" s="217"/>
      <c r="E46" s="247"/>
      <c r="F46" s="248"/>
    </row>
    <row r="47" spans="1:8" ht="15" customHeight="1">
      <c r="A47" s="220">
        <f>A46+0.001</f>
        <v>10.300999999999998</v>
      </c>
      <c r="B47" s="250" t="s">
        <v>43</v>
      </c>
      <c r="C47" s="259"/>
      <c r="D47" s="223"/>
      <c r="E47" s="260"/>
      <c r="F47" s="261"/>
    </row>
    <row r="48" spans="1:8" s="64" customFormat="1" ht="12" customHeight="1">
      <c r="A48" s="230"/>
      <c r="B48" s="238" t="s">
        <v>152</v>
      </c>
      <c r="C48" s="222" t="s">
        <v>41</v>
      </c>
      <c r="D48" s="223">
        <f>(((19.3+7.21+4.8+4.8+4.8+4.8)*2.7))-(2*0.9*2.1)+(3*0.8*2.1)</f>
        <v>124.67699999999999</v>
      </c>
      <c r="E48" s="29"/>
      <c r="F48" s="224" t="s">
        <v>62</v>
      </c>
    </row>
    <row r="49" spans="1:6" s="64" customFormat="1" ht="12" customHeight="1">
      <c r="A49" s="230"/>
      <c r="B49" s="238" t="s">
        <v>153</v>
      </c>
      <c r="C49" s="222" t="s">
        <v>41</v>
      </c>
      <c r="D49" s="223">
        <f>(((22.29+7.21+4.8+4.8+4.8)*2.7))-(2*0.9*2.1)+(2*0.8*2.1)</f>
        <v>118.10999999999999</v>
      </c>
      <c r="E49" s="29"/>
      <c r="F49" s="224" t="s">
        <v>62</v>
      </c>
    </row>
    <row r="50" spans="1:6" s="64" customFormat="1" ht="12" customHeight="1">
      <c r="A50" s="230"/>
      <c r="B50" s="238" t="s">
        <v>154</v>
      </c>
      <c r="C50" s="222" t="s">
        <v>41</v>
      </c>
      <c r="D50" s="223">
        <f>(26.58*2.7)-((2.4*1.7)+(1*2.1)+(1*2.7))</f>
        <v>62.88600000000001</v>
      </c>
      <c r="E50" s="29"/>
      <c r="F50" s="226"/>
    </row>
    <row r="51" spans="1:6" s="64" customFormat="1" ht="12" customHeight="1">
      <c r="A51" s="230"/>
      <c r="B51" s="238" t="s">
        <v>155</v>
      </c>
      <c r="C51" s="222" t="s">
        <v>41</v>
      </c>
      <c r="D51" s="223">
        <f>(48.94*2.7)-((2*2.1)+(3*1.5*1.7)+(1.5*2.1)+(2*0.95*2.1)+(1*0.9*2.1))</f>
        <v>111.25800000000001</v>
      </c>
      <c r="E51" s="29"/>
      <c r="F51" s="226"/>
    </row>
    <row r="52" spans="1:6" s="64" customFormat="1" ht="12" customHeight="1" thickBot="1">
      <c r="A52" s="262"/>
      <c r="B52" s="263" t="s">
        <v>156</v>
      </c>
      <c r="C52" s="264" t="s">
        <v>41</v>
      </c>
      <c r="D52" s="239">
        <f>(6.93*2.7)-((2*0.95*2.1))</f>
        <v>14.721000000000002</v>
      </c>
      <c r="E52" s="78"/>
      <c r="F52" s="241"/>
    </row>
    <row r="53" spans="1:6" s="64" customFormat="1" ht="12" customHeight="1" thickTop="1">
      <c r="A53" s="265"/>
      <c r="B53" s="266" t="s">
        <v>157</v>
      </c>
      <c r="C53" s="210" t="s">
        <v>41</v>
      </c>
      <c r="D53" s="267">
        <f>(21*2.7)-((3*1*2.1)+(4*1.5*1.7))</f>
        <v>40.200000000000003</v>
      </c>
      <c r="E53" s="12"/>
      <c r="F53" s="268" t="s">
        <v>62</v>
      </c>
    </row>
    <row r="54" spans="1:6" s="64" customFormat="1" ht="12" customHeight="1">
      <c r="A54" s="230"/>
      <c r="B54" s="238" t="s">
        <v>158</v>
      </c>
      <c r="C54" s="222" t="s">
        <v>41</v>
      </c>
      <c r="D54" s="223">
        <f>(10.8*2.7)-((2*0.9*2.1))</f>
        <v>25.380000000000003</v>
      </c>
      <c r="E54" s="29"/>
      <c r="F54" s="226"/>
    </row>
    <row r="55" spans="1:6" s="64" customFormat="1" ht="12" customHeight="1">
      <c r="A55" s="230"/>
      <c r="B55" s="238" t="s">
        <v>159</v>
      </c>
      <c r="C55" s="222" t="s">
        <v>41</v>
      </c>
      <c r="D55" s="223">
        <f>(14.26*2.7)-((3*0.9*2.1)+(1.5*2.7))</f>
        <v>28.782</v>
      </c>
      <c r="E55" s="29"/>
      <c r="F55" s="226"/>
    </row>
    <row r="56" spans="1:6" s="64" customFormat="1" ht="12" customHeight="1">
      <c r="A56" s="230"/>
      <c r="B56" s="238" t="s">
        <v>160</v>
      </c>
      <c r="C56" s="222" t="s">
        <v>41</v>
      </c>
      <c r="D56" s="223">
        <f>(15.2*2.7)-((2*0.9*2.1))</f>
        <v>37.26</v>
      </c>
      <c r="E56" s="29"/>
      <c r="F56" s="224" t="s">
        <v>62</v>
      </c>
    </row>
    <row r="57" spans="1:6" s="64" customFormat="1" ht="12" customHeight="1">
      <c r="A57" s="230" t="s">
        <v>33</v>
      </c>
      <c r="B57" s="238" t="s">
        <v>161</v>
      </c>
      <c r="C57" s="222" t="s">
        <v>41</v>
      </c>
      <c r="D57" s="223">
        <f>(11.58*2.7)-((3*0.9*2.1))</f>
        <v>25.596</v>
      </c>
      <c r="E57" s="29"/>
      <c r="F57" s="226"/>
    </row>
    <row r="58" spans="1:6" s="64" customFormat="1" ht="12" customHeight="1">
      <c r="A58" s="230"/>
      <c r="B58" s="238" t="s">
        <v>162</v>
      </c>
      <c r="C58" s="222" t="s">
        <v>41</v>
      </c>
      <c r="D58" s="223">
        <f>(38.23*2.7)-((5*0.9*2.1)+(4*1.5*1.7)+(1.5*2.1))</f>
        <v>80.421000000000006</v>
      </c>
      <c r="E58" s="29"/>
      <c r="F58" s="224" t="s">
        <v>62</v>
      </c>
    </row>
    <row r="59" spans="1:6" s="64" customFormat="1" ht="12" customHeight="1">
      <c r="A59" s="230"/>
      <c r="B59" s="238" t="s">
        <v>163</v>
      </c>
      <c r="C59" s="222" t="s">
        <v>41</v>
      </c>
      <c r="D59" s="223">
        <f>(15.14*2.7)-((0.9*2.1))</f>
        <v>38.988000000000007</v>
      </c>
      <c r="E59" s="29"/>
      <c r="F59" s="224" t="s">
        <v>62</v>
      </c>
    </row>
    <row r="60" spans="1:6" s="64" customFormat="1" ht="12" customHeight="1">
      <c r="A60" s="230"/>
      <c r="B60" s="238" t="s">
        <v>164</v>
      </c>
      <c r="C60" s="222" t="s">
        <v>41</v>
      </c>
      <c r="D60" s="223">
        <f>(21.22*2.7)-((0.9*2.1)+(1.5*1.7))</f>
        <v>52.854000000000006</v>
      </c>
      <c r="E60" s="29"/>
      <c r="F60" s="226"/>
    </row>
    <row r="61" spans="1:6" s="64" customFormat="1" ht="12" customHeight="1">
      <c r="A61" s="230"/>
      <c r="B61" s="238" t="s">
        <v>99</v>
      </c>
      <c r="C61" s="222" t="s">
        <v>41</v>
      </c>
      <c r="D61" s="223">
        <f>(32.77*2.7)-((2*1*2.1)+(3*1.5*1.7))</f>
        <v>76.629000000000019</v>
      </c>
      <c r="E61" s="29"/>
      <c r="F61" s="226"/>
    </row>
    <row r="62" spans="1:6" s="64" customFormat="1" ht="12" customHeight="1">
      <c r="A62" s="230"/>
      <c r="B62" s="238" t="s">
        <v>165</v>
      </c>
      <c r="C62" s="222" t="s">
        <v>41</v>
      </c>
      <c r="D62" s="223">
        <f>(18.62*2.7)-((2*1.5*1.7)+(2*1.5*2.7))</f>
        <v>37.074000000000005</v>
      </c>
      <c r="E62" s="29"/>
      <c r="F62" s="226"/>
    </row>
    <row r="63" spans="1:6" s="64" customFormat="1" ht="12" customHeight="1">
      <c r="A63" s="230"/>
      <c r="B63" s="238" t="s">
        <v>166</v>
      </c>
      <c r="C63" s="222" t="s">
        <v>41</v>
      </c>
      <c r="D63" s="223">
        <f>(42.81*2.7)-((8*1.5*1.7)+(2*1.5*2.1))</f>
        <v>88.887000000000015</v>
      </c>
      <c r="E63" s="29"/>
      <c r="F63" s="226"/>
    </row>
    <row r="64" spans="1:6" s="64" customFormat="1" ht="12" customHeight="1">
      <c r="A64" s="230"/>
      <c r="B64" s="238" t="s">
        <v>167</v>
      </c>
      <c r="C64" s="222" t="s">
        <v>41</v>
      </c>
      <c r="D64" s="223">
        <f>(22.69*2.7)-((2*1.5*1.7)+(1*2.1))</f>
        <v>54.063000000000002</v>
      </c>
      <c r="E64" s="29"/>
      <c r="F64" s="226"/>
    </row>
    <row r="65" spans="1:6" s="64" customFormat="1" ht="12" customHeight="1">
      <c r="A65" s="230"/>
      <c r="B65" s="238" t="s">
        <v>168</v>
      </c>
      <c r="C65" s="222" t="s">
        <v>41</v>
      </c>
      <c r="D65" s="223">
        <f>((22.1*2.7)-(1*2.1))</f>
        <v>57.570000000000007</v>
      </c>
      <c r="E65" s="29"/>
      <c r="F65" s="226"/>
    </row>
    <row r="66" spans="1:6" s="64" customFormat="1" ht="12" customHeight="1">
      <c r="A66" s="230"/>
      <c r="B66" s="238" t="s">
        <v>169</v>
      </c>
      <c r="C66" s="222" t="s">
        <v>41</v>
      </c>
      <c r="D66" s="223">
        <f>(13.8*2.7)-((1*2.1))</f>
        <v>35.160000000000004</v>
      </c>
      <c r="E66" s="29"/>
      <c r="F66" s="226"/>
    </row>
    <row r="67" spans="1:6" s="64" customFormat="1" ht="12" customHeight="1">
      <c r="A67" s="230"/>
      <c r="B67" s="238" t="s">
        <v>170</v>
      </c>
      <c r="C67" s="222" t="s">
        <v>41</v>
      </c>
      <c r="D67" s="223">
        <f>(21.26*2.7)-((1.5*2.1)+(2*1.5*1.7))</f>
        <v>49.152000000000008</v>
      </c>
      <c r="E67" s="29"/>
      <c r="F67" s="226"/>
    </row>
    <row r="68" spans="1:6" s="64" customFormat="1" ht="15">
      <c r="A68" s="230"/>
      <c r="B68" s="238" t="s">
        <v>171</v>
      </c>
      <c r="C68" s="222" t="s">
        <v>41</v>
      </c>
      <c r="D68" s="223">
        <f>((78.12*2.7)-((1.5*1.7*10)+(2.1*1*3)+(1.5*2.1*2)+(1.5*2.7*2)))</f>
        <v>164.72400000000005</v>
      </c>
      <c r="E68" s="29"/>
      <c r="F68" s="226"/>
    </row>
    <row r="69" spans="1:6" s="64" customFormat="1" ht="12" customHeight="1">
      <c r="A69" s="230"/>
      <c r="B69" s="238" t="s">
        <v>172</v>
      </c>
      <c r="C69" s="222" t="s">
        <v>41</v>
      </c>
      <c r="D69" s="223">
        <f>(47.37*2.7)-((1*1*2.1)+(4*0.9*2.1))</f>
        <v>118.239</v>
      </c>
      <c r="E69" s="29"/>
      <c r="F69" s="224" t="s">
        <v>62</v>
      </c>
    </row>
    <row r="70" spans="1:6" s="64" customFormat="1" ht="12" customHeight="1">
      <c r="A70" s="230"/>
      <c r="B70" s="238" t="s">
        <v>173</v>
      </c>
      <c r="C70" s="222" t="s">
        <v>41</v>
      </c>
      <c r="D70" s="223">
        <f>(36.65*2.7)-((1*1*2.1)+(4*0.9*2.1))</f>
        <v>89.295000000000002</v>
      </c>
      <c r="E70" s="29"/>
      <c r="F70" s="224" t="s">
        <v>62</v>
      </c>
    </row>
    <row r="71" spans="1:6" s="64" customFormat="1" ht="12" customHeight="1">
      <c r="A71" s="230"/>
      <c r="B71" s="238" t="s">
        <v>100</v>
      </c>
      <c r="C71" s="222" t="s">
        <v>41</v>
      </c>
      <c r="D71" s="223">
        <f>(50.9*2.7)-((3*1.5*2.1)+(1.5*2.7)+(1*2.1)+(0.9*2.1))</f>
        <v>119.94</v>
      </c>
      <c r="E71" s="29"/>
      <c r="F71" s="226"/>
    </row>
    <row r="72" spans="1:6" s="64" customFormat="1" ht="12" customHeight="1">
      <c r="A72" s="230"/>
      <c r="B72" s="238" t="s">
        <v>174</v>
      </c>
      <c r="C72" s="222" t="s">
        <v>41</v>
      </c>
      <c r="D72" s="223">
        <f>(16.43*2.7)-((1.5*2.1))</f>
        <v>41.211000000000006</v>
      </c>
      <c r="E72" s="29"/>
      <c r="F72" s="224" t="s">
        <v>62</v>
      </c>
    </row>
    <row r="73" spans="1:6" s="64" customFormat="1" ht="12" customHeight="1">
      <c r="A73" s="230"/>
      <c r="B73" s="238" t="s">
        <v>175</v>
      </c>
      <c r="C73" s="222" t="s">
        <v>41</v>
      </c>
      <c r="D73" s="223">
        <v>14.41</v>
      </c>
      <c r="E73" s="29"/>
      <c r="F73" s="226"/>
    </row>
    <row r="74" spans="1:6" s="64" customFormat="1" ht="12" customHeight="1">
      <c r="A74" s="230"/>
      <c r="B74" s="238" t="s">
        <v>176</v>
      </c>
      <c r="C74" s="222" t="s">
        <v>41</v>
      </c>
      <c r="D74" s="223">
        <f>(12.21*2.7)-((0.9*2.1))</f>
        <v>31.077000000000005</v>
      </c>
      <c r="E74" s="29"/>
      <c r="F74" s="226"/>
    </row>
    <row r="75" spans="1:6" s="64" customFormat="1" ht="12" customHeight="1">
      <c r="A75" s="230"/>
      <c r="B75" s="238" t="s">
        <v>177</v>
      </c>
      <c r="C75" s="222" t="s">
        <v>41</v>
      </c>
      <c r="D75" s="223">
        <f>(23.08*2.7)-((1.5*2.7)+(1.5*1.7)+(1*2.1))</f>
        <v>53.616</v>
      </c>
      <c r="E75" s="29"/>
      <c r="F75" s="224" t="s">
        <v>62</v>
      </c>
    </row>
    <row r="76" spans="1:6" s="64" customFormat="1" ht="12" customHeight="1">
      <c r="A76" s="230"/>
      <c r="B76" s="238" t="s">
        <v>178</v>
      </c>
      <c r="C76" s="222" t="s">
        <v>41</v>
      </c>
      <c r="D76" s="223">
        <f>(10.34*2.7)-((0.8*0.6)+(1*2.1))</f>
        <v>25.338000000000001</v>
      </c>
      <c r="E76" s="29"/>
      <c r="F76" s="224" t="s">
        <v>62</v>
      </c>
    </row>
    <row r="77" spans="1:6" s="64" customFormat="1" ht="12" customHeight="1">
      <c r="A77" s="230"/>
      <c r="B77" s="238" t="s">
        <v>179</v>
      </c>
      <c r="C77" s="222" t="s">
        <v>41</v>
      </c>
      <c r="D77" s="223">
        <f>((24.42*2.7)-((2*1.5*1.7)+(1*2.1)+(2*2.1)))</f>
        <v>54.534000000000013</v>
      </c>
      <c r="E77" s="29"/>
      <c r="F77" s="226"/>
    </row>
    <row r="78" spans="1:6" s="64" customFormat="1" ht="12" customHeight="1">
      <c r="A78" s="230"/>
      <c r="B78" s="238" t="s">
        <v>180</v>
      </c>
      <c r="C78" s="222" t="s">
        <v>41</v>
      </c>
      <c r="D78" s="233">
        <f>((5.9-2)*2.7)</f>
        <v>10.530000000000001</v>
      </c>
      <c r="E78" s="29"/>
      <c r="F78" s="224" t="s">
        <v>62</v>
      </c>
    </row>
    <row r="79" spans="1:6" s="64" customFormat="1" ht="12" customHeight="1" thickBot="1">
      <c r="A79" s="230"/>
      <c r="B79" s="253"/>
      <c r="C79" s="222"/>
      <c r="D79" s="239"/>
      <c r="E79" s="240"/>
      <c r="F79" s="226"/>
    </row>
    <row r="80" spans="1:6" ht="27" customHeight="1" thickTop="1" thickBot="1">
      <c r="A80" s="220"/>
      <c r="B80" s="253"/>
      <c r="C80" s="516" t="str">
        <f>B46</f>
        <v>PLATRERIE</v>
      </c>
      <c r="D80" s="517"/>
      <c r="E80" s="518"/>
      <c r="F80" s="243"/>
    </row>
    <row r="81" spans="1:6" ht="12.75" thickTop="1">
      <c r="A81" s="220"/>
      <c r="B81" s="253"/>
      <c r="C81" s="222"/>
      <c r="D81" s="269"/>
      <c r="E81" s="270"/>
      <c r="F81" s="226"/>
    </row>
    <row r="82" spans="1:6" s="89" customFormat="1" ht="20.100000000000001" customHeight="1">
      <c r="A82" s="271">
        <f>A46+0.1</f>
        <v>10.399999999999999</v>
      </c>
      <c r="B82" s="215" t="s">
        <v>53</v>
      </c>
      <c r="C82" s="216"/>
      <c r="D82" s="217"/>
      <c r="E82" s="272"/>
      <c r="F82" s="248"/>
    </row>
    <row r="83" spans="1:6" s="274" customFormat="1">
      <c r="A83" s="220"/>
      <c r="B83" s="250" t="s">
        <v>54</v>
      </c>
      <c r="C83" s="236"/>
      <c r="D83" s="223"/>
      <c r="E83" s="273"/>
      <c r="F83" s="226"/>
    </row>
    <row r="84" spans="1:6" s="64" customFormat="1" ht="12" customHeight="1">
      <c r="A84" s="275"/>
      <c r="B84" s="238" t="s">
        <v>176</v>
      </c>
      <c r="C84" s="222" t="s">
        <v>41</v>
      </c>
      <c r="D84" s="223">
        <v>9.3000000000000007</v>
      </c>
      <c r="E84" s="29"/>
      <c r="F84" s="226"/>
    </row>
    <row r="85" spans="1:6" s="64" customFormat="1" ht="12" customHeight="1">
      <c r="A85" s="230"/>
      <c r="B85" s="238" t="s">
        <v>181</v>
      </c>
      <c r="C85" s="222" t="s">
        <v>41</v>
      </c>
      <c r="D85" s="223">
        <v>30.66</v>
      </c>
      <c r="E85" s="29"/>
      <c r="F85" s="226"/>
    </row>
    <row r="86" spans="1:6" s="155" customFormat="1" ht="12" customHeight="1">
      <c r="A86" s="275"/>
      <c r="B86" s="238" t="s">
        <v>162</v>
      </c>
      <c r="C86" s="222" t="s">
        <v>41</v>
      </c>
      <c r="D86" s="223">
        <v>88</v>
      </c>
      <c r="E86" s="29"/>
      <c r="F86" s="226"/>
    </row>
    <row r="87" spans="1:6" s="64" customFormat="1" ht="12" customHeight="1">
      <c r="A87" s="275"/>
      <c r="B87" s="238" t="s">
        <v>182</v>
      </c>
      <c r="C87" s="222" t="s">
        <v>41</v>
      </c>
      <c r="D87" s="223">
        <v>2.83</v>
      </c>
      <c r="E87" s="29"/>
      <c r="F87" s="226"/>
    </row>
    <row r="88" spans="1:6" s="64" customFormat="1" ht="12" customHeight="1">
      <c r="A88" s="275"/>
      <c r="B88" s="238" t="s">
        <v>183</v>
      </c>
      <c r="C88" s="222" t="s">
        <v>41</v>
      </c>
      <c r="D88" s="223">
        <v>6.5</v>
      </c>
      <c r="E88" s="29"/>
      <c r="F88" s="226"/>
    </row>
    <row r="89" spans="1:6" s="64" customFormat="1" ht="12" customHeight="1">
      <c r="A89" s="275"/>
      <c r="B89" s="238" t="s">
        <v>184</v>
      </c>
      <c r="C89" s="222" t="s">
        <v>41</v>
      </c>
      <c r="D89" s="223">
        <v>14.3</v>
      </c>
      <c r="E89" s="29"/>
      <c r="F89" s="226"/>
    </row>
    <row r="90" spans="1:6" s="64" customFormat="1" ht="12" customHeight="1">
      <c r="A90" s="275"/>
      <c r="B90" s="238" t="s">
        <v>157</v>
      </c>
      <c r="C90" s="222" t="s">
        <v>41</v>
      </c>
      <c r="D90" s="223">
        <v>21.1</v>
      </c>
      <c r="E90" s="29"/>
      <c r="F90" s="226"/>
    </row>
    <row r="91" spans="1:6" s="64" customFormat="1" ht="12" customHeight="1">
      <c r="A91" s="275"/>
      <c r="B91" s="238" t="s">
        <v>185</v>
      </c>
      <c r="C91" s="222" t="s">
        <v>41</v>
      </c>
      <c r="D91" s="223">
        <v>7.3</v>
      </c>
      <c r="E91" s="29"/>
      <c r="F91" s="226"/>
    </row>
    <row r="92" spans="1:6" s="64" customFormat="1" ht="12" customHeight="1">
      <c r="A92" s="275"/>
      <c r="B92" s="238" t="s">
        <v>159</v>
      </c>
      <c r="C92" s="222" t="s">
        <v>41</v>
      </c>
      <c r="D92" s="223">
        <v>8.4499999999999993</v>
      </c>
      <c r="E92" s="29"/>
      <c r="F92" s="226"/>
    </row>
    <row r="93" spans="1:6" s="64" customFormat="1" ht="12" customHeight="1">
      <c r="A93" s="276"/>
      <c r="B93" s="277" t="s">
        <v>186</v>
      </c>
      <c r="C93" s="222" t="s">
        <v>41</v>
      </c>
      <c r="D93" s="233">
        <v>13.9</v>
      </c>
      <c r="E93" s="29"/>
      <c r="F93" s="226"/>
    </row>
    <row r="94" spans="1:6" s="64" customFormat="1" ht="12" customHeight="1">
      <c r="A94" s="276"/>
      <c r="B94" s="277" t="s">
        <v>187</v>
      </c>
      <c r="C94" s="222" t="s">
        <v>41</v>
      </c>
      <c r="D94" s="233">
        <v>5.87</v>
      </c>
      <c r="E94" s="29"/>
      <c r="F94" s="226"/>
    </row>
    <row r="95" spans="1:6" s="64" customFormat="1" ht="12" customHeight="1">
      <c r="A95" s="276"/>
      <c r="B95" s="277" t="s">
        <v>188</v>
      </c>
      <c r="C95" s="222" t="s">
        <v>41</v>
      </c>
      <c r="D95" s="233">
        <v>9.6199999999999992</v>
      </c>
      <c r="E95" s="29"/>
      <c r="F95" s="226"/>
    </row>
    <row r="96" spans="1:6" s="64" customFormat="1" ht="12" customHeight="1" thickBot="1">
      <c r="A96" s="278"/>
      <c r="B96" s="263"/>
      <c r="C96" s="264"/>
      <c r="D96" s="239"/>
      <c r="E96" s="240"/>
      <c r="F96" s="241"/>
    </row>
    <row r="97" spans="1:6" s="64" customFormat="1" ht="12" customHeight="1" thickTop="1">
      <c r="A97" s="279"/>
      <c r="B97" s="280" t="s">
        <v>189</v>
      </c>
      <c r="C97" s="210"/>
      <c r="D97" s="267"/>
      <c r="E97" s="281"/>
      <c r="F97" s="282"/>
    </row>
    <row r="98" spans="1:6" s="64" customFormat="1" ht="12" customHeight="1">
      <c r="A98" s="275"/>
      <c r="B98" s="238" t="s">
        <v>190</v>
      </c>
      <c r="C98" s="222" t="s">
        <v>41</v>
      </c>
      <c r="D98" s="223">
        <v>16.399999999999999</v>
      </c>
      <c r="E98" s="29"/>
      <c r="F98" s="226"/>
    </row>
    <row r="99" spans="1:6" s="64" customFormat="1" ht="12" customHeight="1">
      <c r="A99" s="275"/>
      <c r="B99" s="250"/>
      <c r="C99" s="222"/>
      <c r="D99" s="223"/>
      <c r="E99" s="273"/>
      <c r="F99" s="226"/>
    </row>
    <row r="100" spans="1:6" s="274" customFormat="1">
      <c r="A100" s="220"/>
      <c r="B100" s="250" t="s">
        <v>132</v>
      </c>
      <c r="C100" s="222"/>
      <c r="D100" s="223"/>
      <c r="E100" s="273"/>
      <c r="F100" s="226"/>
    </row>
    <row r="101" spans="1:6" s="64" customFormat="1" ht="12" customHeight="1">
      <c r="A101" s="275"/>
      <c r="B101" s="238" t="s">
        <v>191</v>
      </c>
      <c r="C101" s="222" t="s">
        <v>41</v>
      </c>
      <c r="D101" s="223">
        <v>29.5</v>
      </c>
      <c r="E101" s="29"/>
      <c r="F101" s="226"/>
    </row>
    <row r="102" spans="1:6" s="64" customFormat="1" ht="12" customHeight="1">
      <c r="A102" s="275"/>
      <c r="B102" s="238" t="s">
        <v>192</v>
      </c>
      <c r="C102" s="222" t="s">
        <v>41</v>
      </c>
      <c r="D102" s="223">
        <v>27.85</v>
      </c>
      <c r="E102" s="29"/>
      <c r="F102" s="226"/>
    </row>
    <row r="103" spans="1:6" s="64" customFormat="1" ht="12" customHeight="1">
      <c r="A103" s="275"/>
      <c r="B103" s="238" t="s">
        <v>193</v>
      </c>
      <c r="C103" s="222" t="s">
        <v>41</v>
      </c>
      <c r="D103" s="223">
        <v>5.9</v>
      </c>
      <c r="E103" s="29"/>
      <c r="F103" s="226"/>
    </row>
    <row r="104" spans="1:6" s="64" customFormat="1" ht="12" customHeight="1">
      <c r="A104" s="230"/>
      <c r="B104" s="238" t="s">
        <v>194</v>
      </c>
      <c r="C104" s="222" t="s">
        <v>41</v>
      </c>
      <c r="D104" s="223">
        <v>33.1</v>
      </c>
      <c r="E104" s="29"/>
      <c r="F104" s="226"/>
    </row>
    <row r="105" spans="1:6" s="64" customFormat="1" ht="12" customHeight="1">
      <c r="A105" s="230"/>
      <c r="B105" s="238" t="s">
        <v>195</v>
      </c>
      <c r="C105" s="222" t="s">
        <v>41</v>
      </c>
      <c r="D105" s="223">
        <v>19.75</v>
      </c>
      <c r="E105" s="29"/>
      <c r="F105" s="226"/>
    </row>
    <row r="106" spans="1:6" s="64" customFormat="1" ht="12" customHeight="1">
      <c r="A106" s="275"/>
      <c r="B106" s="238" t="s">
        <v>196</v>
      </c>
      <c r="C106" s="222" t="s">
        <v>41</v>
      </c>
      <c r="D106" s="223">
        <v>29.1</v>
      </c>
      <c r="E106" s="29"/>
      <c r="F106" s="226"/>
    </row>
    <row r="107" spans="1:6" s="64" customFormat="1" ht="12" customHeight="1">
      <c r="A107" s="275"/>
      <c r="B107" s="238" t="s">
        <v>197</v>
      </c>
      <c r="C107" s="222" t="s">
        <v>41</v>
      </c>
      <c r="D107" s="223">
        <v>21.7</v>
      </c>
      <c r="E107" s="29"/>
      <c r="F107" s="226"/>
    </row>
    <row r="108" spans="1:6" s="64" customFormat="1" ht="12" customHeight="1">
      <c r="A108" s="275"/>
      <c r="B108" s="238" t="s">
        <v>198</v>
      </c>
      <c r="C108" s="222" t="s">
        <v>41</v>
      </c>
      <c r="D108" s="223">
        <v>73</v>
      </c>
      <c r="E108" s="29"/>
      <c r="F108" s="226"/>
    </row>
    <row r="109" spans="1:6" s="64" customFormat="1" ht="12" customHeight="1">
      <c r="A109" s="275"/>
      <c r="B109" s="238" t="s">
        <v>199</v>
      </c>
      <c r="C109" s="222" t="s">
        <v>41</v>
      </c>
      <c r="D109" s="223">
        <v>14.41</v>
      </c>
      <c r="E109" s="29"/>
      <c r="F109" s="226"/>
    </row>
    <row r="110" spans="1:6" s="64" customFormat="1" ht="12" customHeight="1">
      <c r="A110" s="275"/>
      <c r="B110" s="238" t="s">
        <v>200</v>
      </c>
      <c r="C110" s="222" t="s">
        <v>41</v>
      </c>
      <c r="D110" s="223">
        <v>88</v>
      </c>
      <c r="E110" s="29"/>
      <c r="F110" s="226"/>
    </row>
    <row r="111" spans="1:6" s="64" customFormat="1" ht="12" customHeight="1">
      <c r="A111" s="275"/>
      <c r="B111" s="238" t="s">
        <v>201</v>
      </c>
      <c r="C111" s="222"/>
      <c r="D111" s="223"/>
      <c r="E111" s="273"/>
      <c r="F111" s="226"/>
    </row>
    <row r="112" spans="1:6" s="274" customFormat="1" ht="15" customHeight="1">
      <c r="A112" s="220"/>
      <c r="B112" s="250" t="s">
        <v>202</v>
      </c>
      <c r="C112" s="222"/>
      <c r="D112" s="223"/>
      <c r="E112" s="273"/>
      <c r="F112" s="226"/>
    </row>
    <row r="113" spans="1:6" s="64" customFormat="1" ht="12" customHeight="1">
      <c r="A113" s="275"/>
      <c r="B113" s="238" t="s">
        <v>154</v>
      </c>
      <c r="C113" s="222" t="s">
        <v>41</v>
      </c>
      <c r="D113" s="223">
        <v>40.200000000000003</v>
      </c>
      <c r="E113" s="29"/>
      <c r="F113" s="226"/>
    </row>
    <row r="114" spans="1:6" s="64" customFormat="1" ht="12" customHeight="1">
      <c r="A114" s="275"/>
      <c r="B114" s="238" t="s">
        <v>155</v>
      </c>
      <c r="C114" s="222" t="s">
        <v>41</v>
      </c>
      <c r="D114" s="223">
        <v>99.9</v>
      </c>
      <c r="E114" s="29"/>
      <c r="F114" s="226"/>
    </row>
    <row r="115" spans="1:6" s="64" customFormat="1" ht="12" customHeight="1">
      <c r="A115" s="275"/>
      <c r="B115" s="238" t="s">
        <v>203</v>
      </c>
      <c r="C115" s="222" t="s">
        <v>41</v>
      </c>
      <c r="D115" s="223">
        <v>30.57</v>
      </c>
      <c r="E115" s="29"/>
      <c r="F115" s="226"/>
    </row>
    <row r="116" spans="1:6" s="64" customFormat="1" ht="15">
      <c r="A116" s="275"/>
      <c r="B116" s="283" t="s">
        <v>33</v>
      </c>
      <c r="C116" s="222"/>
      <c r="D116" s="223"/>
      <c r="E116" s="29"/>
      <c r="F116" s="226"/>
    </row>
    <row r="117" spans="1:6" s="274" customFormat="1" ht="15" customHeight="1">
      <c r="A117" s="220"/>
      <c r="B117" s="250" t="s">
        <v>141</v>
      </c>
      <c r="C117" s="222"/>
      <c r="D117" s="223"/>
      <c r="E117" s="273"/>
      <c r="F117" s="226"/>
    </row>
    <row r="118" spans="1:6" s="64" customFormat="1" ht="12" customHeight="1">
      <c r="A118" s="275"/>
      <c r="B118" s="238" t="s">
        <v>179</v>
      </c>
      <c r="C118" s="222" t="s">
        <v>41</v>
      </c>
      <c r="D118" s="223">
        <v>36.75</v>
      </c>
      <c r="E118" s="29"/>
      <c r="F118" s="226"/>
    </row>
    <row r="119" spans="1:6" s="64" customFormat="1" ht="12" customHeight="1">
      <c r="A119" s="275"/>
      <c r="B119" s="238" t="s">
        <v>167</v>
      </c>
      <c r="C119" s="222" t="s">
        <v>41</v>
      </c>
      <c r="D119" s="223">
        <v>31.52</v>
      </c>
      <c r="E119" s="29"/>
      <c r="F119" s="226"/>
    </row>
    <row r="120" spans="1:6" s="64" customFormat="1" ht="12" customHeight="1">
      <c r="A120" s="275"/>
      <c r="B120" s="238" t="s">
        <v>168</v>
      </c>
      <c r="C120" s="222" t="s">
        <v>41</v>
      </c>
      <c r="D120" s="223">
        <v>29.97</v>
      </c>
      <c r="E120" s="29"/>
      <c r="F120" s="226"/>
    </row>
    <row r="121" spans="1:6" s="64" customFormat="1" ht="12" customHeight="1">
      <c r="A121" s="275"/>
      <c r="B121" s="238" t="s">
        <v>166</v>
      </c>
      <c r="C121" s="222" t="s">
        <v>41</v>
      </c>
      <c r="D121" s="223">
        <v>114</v>
      </c>
      <c r="E121" s="29"/>
      <c r="F121" s="226"/>
    </row>
    <row r="122" spans="1:6" s="64" customFormat="1" ht="12" customHeight="1">
      <c r="A122" s="275"/>
      <c r="B122" s="238" t="s">
        <v>204</v>
      </c>
      <c r="C122" s="222" t="s">
        <v>41</v>
      </c>
      <c r="D122" s="223">
        <v>11.74</v>
      </c>
      <c r="E122" s="29"/>
      <c r="F122" s="226"/>
    </row>
    <row r="123" spans="1:6" s="64" customFormat="1" ht="15">
      <c r="A123" s="275"/>
      <c r="B123" s="238" t="s">
        <v>171</v>
      </c>
      <c r="C123" s="222" t="s">
        <v>41</v>
      </c>
      <c r="D123" s="223">
        <v>272.18</v>
      </c>
      <c r="E123" s="29"/>
      <c r="F123" s="226"/>
    </row>
    <row r="124" spans="1:6" s="64" customFormat="1" ht="15">
      <c r="A124" s="275"/>
      <c r="B124" s="221" t="s">
        <v>170</v>
      </c>
      <c r="C124" s="222" t="s">
        <v>41</v>
      </c>
      <c r="D124" s="223">
        <v>23.11</v>
      </c>
      <c r="E124" s="29"/>
      <c r="F124" s="226"/>
    </row>
    <row r="125" spans="1:6" s="64" customFormat="1" ht="15.75" thickBot="1">
      <c r="A125" s="275"/>
      <c r="B125" s="221"/>
      <c r="C125" s="222"/>
      <c r="D125" s="223"/>
      <c r="E125" s="229"/>
      <c r="F125" s="226"/>
    </row>
    <row r="126" spans="1:6" s="46" customFormat="1" ht="27" customHeight="1" thickTop="1" thickBot="1">
      <c r="A126" s="284"/>
      <c r="B126" s="238" t="s">
        <v>33</v>
      </c>
      <c r="C126" s="516" t="str">
        <f>B82</f>
        <v>FAUX PLAFOND</v>
      </c>
      <c r="D126" s="517"/>
      <c r="E126" s="518"/>
      <c r="F126" s="243"/>
    </row>
    <row r="127" spans="1:6" s="46" customFormat="1" ht="13.5" thickTop="1" thickBot="1">
      <c r="A127" s="285"/>
      <c r="B127" s="263"/>
      <c r="C127" s="286"/>
      <c r="D127" s="287"/>
      <c r="E127" s="288"/>
      <c r="F127" s="241"/>
    </row>
    <row r="128" spans="1:6" s="91" customFormat="1" ht="20.100000000000001" customHeight="1" thickTop="1">
      <c r="A128" s="271">
        <v>10.5</v>
      </c>
      <c r="B128" s="289" t="s">
        <v>205</v>
      </c>
      <c r="C128" s="290"/>
      <c r="D128" s="291"/>
      <c r="E128" s="292"/>
      <c r="F128" s="293"/>
    </row>
    <row r="129" spans="1:6" s="64" customFormat="1" ht="24">
      <c r="A129" s="275"/>
      <c r="B129" s="250" t="s">
        <v>206</v>
      </c>
      <c r="C129" s="222"/>
      <c r="D129" s="223"/>
      <c r="E129" s="229"/>
      <c r="F129" s="224"/>
    </row>
    <row r="130" spans="1:6" s="64" customFormat="1" ht="12" customHeight="1">
      <c r="A130" s="275"/>
      <c r="B130" s="238" t="s">
        <v>207</v>
      </c>
      <c r="C130" s="222" t="s">
        <v>41</v>
      </c>
      <c r="D130" s="223">
        <v>18</v>
      </c>
      <c r="E130" s="29"/>
      <c r="F130" s="226"/>
    </row>
    <row r="131" spans="1:6" s="64" customFormat="1" ht="12" customHeight="1">
      <c r="A131" s="275"/>
      <c r="B131" s="238" t="s">
        <v>208</v>
      </c>
      <c r="C131" s="222" t="s">
        <v>41</v>
      </c>
      <c r="D131" s="223">
        <v>11</v>
      </c>
      <c r="E131" s="29"/>
      <c r="F131" s="226"/>
    </row>
    <row r="132" spans="1:6" s="64" customFormat="1" ht="12" customHeight="1">
      <c r="A132" s="275"/>
      <c r="B132" s="238"/>
      <c r="C132" s="222"/>
      <c r="D132" s="223"/>
      <c r="E132" s="229"/>
      <c r="F132" s="226"/>
    </row>
    <row r="133" spans="1:6" customFormat="1" ht="15">
      <c r="A133" s="220"/>
      <c r="B133" s="250" t="s">
        <v>209</v>
      </c>
      <c r="C133" s="236"/>
      <c r="D133" s="223"/>
      <c r="E133" s="294"/>
      <c r="F133" s="295"/>
    </row>
    <row r="134" spans="1:6" s="64" customFormat="1" ht="12" customHeight="1">
      <c r="A134" s="230"/>
      <c r="B134" s="238" t="s">
        <v>210</v>
      </c>
      <c r="C134" s="222" t="s">
        <v>61</v>
      </c>
      <c r="D134" s="223">
        <f>12*2.7</f>
        <v>32.400000000000006</v>
      </c>
      <c r="E134" s="29"/>
      <c r="F134" s="226"/>
    </row>
    <row r="135" spans="1:6" s="64" customFormat="1" ht="12" customHeight="1">
      <c r="A135" s="230"/>
      <c r="B135" s="238" t="s">
        <v>211</v>
      </c>
      <c r="C135" s="222" t="s">
        <v>61</v>
      </c>
      <c r="D135" s="223">
        <f>11*2.7</f>
        <v>29.700000000000003</v>
      </c>
      <c r="E135" s="29"/>
      <c r="F135" s="226"/>
    </row>
    <row r="136" spans="1:6" s="64" customFormat="1" ht="12" customHeight="1">
      <c r="A136" s="230"/>
      <c r="B136" s="238" t="s">
        <v>212</v>
      </c>
      <c r="C136" s="222" t="s">
        <v>61</v>
      </c>
      <c r="D136" s="223">
        <f>9*2.7</f>
        <v>24.3</v>
      </c>
      <c r="E136" s="29"/>
      <c r="F136" s="226"/>
    </row>
    <row r="137" spans="1:6" s="64" customFormat="1" ht="12" customHeight="1">
      <c r="A137" s="230"/>
      <c r="B137" s="238" t="s">
        <v>179</v>
      </c>
      <c r="C137" s="222" t="s">
        <v>61</v>
      </c>
      <c r="D137" s="223">
        <f>4*2.7</f>
        <v>10.8</v>
      </c>
      <c r="E137" s="29"/>
      <c r="F137" s="226"/>
    </row>
    <row r="138" spans="1:6" s="64" customFormat="1" ht="12" customHeight="1">
      <c r="A138" s="230"/>
      <c r="B138" s="238" t="s">
        <v>213</v>
      </c>
      <c r="C138" s="222" t="s">
        <v>61</v>
      </c>
      <c r="D138" s="223">
        <f>4*2.7</f>
        <v>10.8</v>
      </c>
      <c r="E138" s="29"/>
      <c r="F138" s="226"/>
    </row>
    <row r="139" spans="1:6" s="64" customFormat="1" ht="12" customHeight="1">
      <c r="A139" s="230"/>
      <c r="B139" s="238" t="s">
        <v>167</v>
      </c>
      <c r="C139" s="222" t="s">
        <v>61</v>
      </c>
      <c r="D139" s="223">
        <f>4*2.7</f>
        <v>10.8</v>
      </c>
      <c r="E139" s="29"/>
      <c r="F139" s="226"/>
    </row>
    <row r="140" spans="1:6" s="64" customFormat="1" ht="12" customHeight="1">
      <c r="A140" s="230"/>
      <c r="B140" s="238" t="s">
        <v>214</v>
      </c>
      <c r="C140" s="222" t="s">
        <v>61</v>
      </c>
      <c r="D140" s="223">
        <f>2*2.7</f>
        <v>5.4</v>
      </c>
      <c r="E140" s="29"/>
      <c r="F140" s="226"/>
    </row>
    <row r="141" spans="1:6" s="64" customFormat="1" ht="12" customHeight="1">
      <c r="A141" s="230"/>
      <c r="B141" s="238" t="s">
        <v>215</v>
      </c>
      <c r="C141" s="222" t="s">
        <v>61</v>
      </c>
      <c r="D141" s="223">
        <f>4*2.7</f>
        <v>10.8</v>
      </c>
      <c r="E141" s="29"/>
      <c r="F141" s="226"/>
    </row>
    <row r="142" spans="1:6" s="64" customFormat="1" ht="12" customHeight="1">
      <c r="A142" s="230"/>
      <c r="B142" s="238" t="s">
        <v>216</v>
      </c>
      <c r="C142" s="222" t="s">
        <v>61</v>
      </c>
      <c r="D142" s="223">
        <f>8*2.7</f>
        <v>21.6</v>
      </c>
      <c r="E142" s="29"/>
      <c r="F142" s="226"/>
    </row>
    <row r="143" spans="1:6" s="64" customFormat="1" ht="12" customHeight="1">
      <c r="A143" s="230"/>
      <c r="B143" s="238" t="s">
        <v>216</v>
      </c>
      <c r="C143" s="222" t="s">
        <v>61</v>
      </c>
      <c r="D143" s="223">
        <f>10*2.7</f>
        <v>27</v>
      </c>
      <c r="E143" s="29"/>
      <c r="F143" s="226"/>
    </row>
    <row r="144" spans="1:6" s="64" customFormat="1" ht="12" customHeight="1" thickBot="1">
      <c r="A144" s="230"/>
      <c r="B144" s="253"/>
      <c r="C144" s="222"/>
      <c r="D144" s="239"/>
      <c r="E144" s="240"/>
      <c r="F144" s="226"/>
    </row>
    <row r="145" spans="1:6" s="46" customFormat="1" ht="27" customHeight="1" thickTop="1" thickBot="1">
      <c r="A145" s="284"/>
      <c r="B145" s="266"/>
      <c r="C145" s="516" t="str">
        <f>B128</f>
        <v>CLOISON / CONDUIT</v>
      </c>
      <c r="D145" s="517"/>
      <c r="E145" s="518"/>
      <c r="F145" s="243"/>
    </row>
    <row r="146" spans="1:6" s="46" customFormat="1" ht="13.5" thickTop="1" thickBot="1">
      <c r="A146" s="284"/>
      <c r="B146" s="266"/>
      <c r="C146" s="259"/>
      <c r="D146" s="287"/>
      <c r="E146" s="288"/>
      <c r="F146" s="261"/>
    </row>
    <row r="147" spans="1:6" s="46" customFormat="1" ht="30" customHeight="1" thickTop="1" thickBot="1">
      <c r="A147" s="519" t="s">
        <v>63</v>
      </c>
      <c r="B147" s="520"/>
      <c r="C147" s="520"/>
      <c r="D147" s="520"/>
      <c r="E147" s="521"/>
      <c r="F147" s="296"/>
    </row>
    <row r="148" spans="1:6" ht="12.75" thickTop="1"/>
    <row r="150" spans="1:6">
      <c r="A150" s="107" t="s">
        <v>64</v>
      </c>
    </row>
    <row r="153" spans="1:6" ht="15">
      <c r="D153" s="480"/>
      <c r="E153" s="480"/>
      <c r="F153" s="298"/>
    </row>
    <row r="154" spans="1:6" ht="15">
      <c r="D154" s="111"/>
      <c r="E154" s="113"/>
      <c r="F154" s="299"/>
    </row>
  </sheetData>
  <mergeCells count="15">
    <mergeCell ref="E9:F9"/>
    <mergeCell ref="A1:F1"/>
    <mergeCell ref="A2:F2"/>
    <mergeCell ref="A3:F3"/>
    <mergeCell ref="A4:F4"/>
    <mergeCell ref="E8:F8"/>
    <mergeCell ref="C145:E145"/>
    <mergeCell ref="A147:E147"/>
    <mergeCell ref="D153:E153"/>
    <mergeCell ref="E11:F11"/>
    <mergeCell ref="C32:E32"/>
    <mergeCell ref="B34:B38"/>
    <mergeCell ref="C44:E44"/>
    <mergeCell ref="C80:E80"/>
    <mergeCell ref="C126:E126"/>
  </mergeCells>
  <conditionalFormatting sqref="E10 E48:E78 E113:E116 E118:E124">
    <cfRule type="cellIs" dxfId="76" priority="5" operator="equal">
      <formula>0</formula>
    </cfRule>
  </conditionalFormatting>
  <conditionalFormatting sqref="E42">
    <cfRule type="cellIs" dxfId="75" priority="4" operator="equal">
      <formula>0</formula>
    </cfRule>
  </conditionalFormatting>
  <conditionalFormatting sqref="E84:E95 E98 E101:E110">
    <cfRule type="cellIs" dxfId="74" priority="3" operator="equal">
      <formula>0</formula>
    </cfRule>
  </conditionalFormatting>
  <conditionalFormatting sqref="E130:E131">
    <cfRule type="cellIs" dxfId="73" priority="2" operator="equal">
      <formula>0</formula>
    </cfRule>
  </conditionalFormatting>
  <conditionalFormatting sqref="E134:E143">
    <cfRule type="cellIs" dxfId="72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2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3" manualBreakCount="3">
    <brk id="52" max="5" man="1"/>
    <brk id="96" max="5" man="1"/>
    <brk id="12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40CA7-6A60-42D7-88EE-60F1E1EC3FB9}">
  <sheetPr codeName="Feuil71">
    <pageSetUpPr fitToPage="1"/>
  </sheetPr>
  <dimension ref="A1:K74"/>
  <sheetViews>
    <sheetView topLeftCell="A42" zoomScaleNormal="100" zoomScaleSheetLayoutView="100" workbookViewId="0">
      <selection activeCell="I68" sqref="I68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318" customWidth="1"/>
    <col min="7" max="7" width="11.42578125" style="14"/>
    <col min="8" max="8" width="16.140625" style="14" bestFit="1" customWidth="1"/>
    <col min="9" max="9" width="17.7109375" style="14" bestFit="1" customWidth="1"/>
    <col min="10" max="16384" width="11.42578125" style="14"/>
  </cols>
  <sheetData>
    <row r="1" spans="1:9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9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9" customFormat="1" ht="33.950000000000003" customHeight="1" thickTop="1" thickBot="1">
      <c r="A3" s="489" t="s">
        <v>217</v>
      </c>
      <c r="B3" s="490"/>
      <c r="C3" s="490"/>
      <c r="D3" s="490"/>
      <c r="E3" s="490"/>
      <c r="F3" s="491"/>
    </row>
    <row r="4" spans="1:9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9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9" ht="12.75" thickTop="1">
      <c r="A6" s="8"/>
      <c r="B6" s="9"/>
      <c r="C6" s="300"/>
      <c r="D6" s="53"/>
      <c r="E6" s="54"/>
      <c r="F6" s="55"/>
    </row>
    <row r="7" spans="1:9">
      <c r="A7" s="301">
        <v>10.1</v>
      </c>
      <c r="B7" s="67" t="s">
        <v>10</v>
      </c>
      <c r="C7" s="69"/>
      <c r="D7" s="32"/>
      <c r="E7" s="302"/>
      <c r="F7" s="303"/>
    </row>
    <row r="8" spans="1:9" customFormat="1" ht="12" customHeight="1">
      <c r="A8" s="22">
        <f>+A7+0.001</f>
        <v>10.100999999999999</v>
      </c>
      <c r="B8" s="23" t="s">
        <v>11</v>
      </c>
      <c r="C8" s="24" t="s">
        <v>12</v>
      </c>
      <c r="D8" s="32">
        <v>1</v>
      </c>
      <c r="E8" s="481" t="s">
        <v>15</v>
      </c>
      <c r="F8" s="482"/>
      <c r="I8" t="s">
        <v>33</v>
      </c>
    </row>
    <row r="9" spans="1:9" customFormat="1" ht="24">
      <c r="A9" s="22">
        <f>+A8+0.001</f>
        <v>10.101999999999999</v>
      </c>
      <c r="B9" s="23" t="s">
        <v>14</v>
      </c>
      <c r="C9" s="24" t="s">
        <v>12</v>
      </c>
      <c r="D9" s="32">
        <v>1</v>
      </c>
      <c r="E9" s="481" t="s">
        <v>67</v>
      </c>
      <c r="F9" s="482"/>
    </row>
    <row r="10" spans="1:9" customFormat="1" ht="12" customHeight="1">
      <c r="A10" s="22">
        <f>+A9+0.001</f>
        <v>10.102999999999998</v>
      </c>
      <c r="B10" s="23" t="s">
        <v>68</v>
      </c>
      <c r="C10" s="24" t="s">
        <v>12</v>
      </c>
      <c r="D10" s="28">
        <v>1</v>
      </c>
      <c r="E10" s="29"/>
      <c r="F10" s="30"/>
    </row>
    <row r="11" spans="1:9" s="33" customFormat="1" ht="15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9">
      <c r="A12" s="304"/>
      <c r="B12" s="23"/>
      <c r="C12" s="24"/>
      <c r="D12" s="305"/>
      <c r="E12" s="29"/>
      <c r="F12" s="26"/>
    </row>
    <row r="13" spans="1:9" customFormat="1" ht="12" customHeight="1">
      <c r="A13" s="39"/>
      <c r="B13" s="40" t="s">
        <v>18</v>
      </c>
      <c r="C13" s="41"/>
      <c r="D13" s="25"/>
      <c r="E13" s="42"/>
      <c r="F13" s="43"/>
    </row>
    <row r="14" spans="1:9" customFormat="1" ht="12" customHeight="1">
      <c r="A14" s="39"/>
      <c r="B14" s="40" t="s">
        <v>19</v>
      </c>
      <c r="C14" s="41"/>
      <c r="D14" s="25"/>
      <c r="E14" s="42"/>
      <c r="F14" s="43"/>
    </row>
    <row r="15" spans="1:9" customFormat="1" ht="12" customHeight="1">
      <c r="A15" s="39"/>
      <c r="B15" s="40" t="s">
        <v>20</v>
      </c>
      <c r="C15" s="41"/>
      <c r="D15" s="25"/>
      <c r="E15" s="42"/>
      <c r="F15" s="43"/>
    </row>
    <row r="16" spans="1:9" customFormat="1" ht="12" customHeight="1">
      <c r="A16" s="39"/>
      <c r="B16" s="40" t="s">
        <v>21</v>
      </c>
      <c r="C16" s="44"/>
      <c r="D16" s="32"/>
      <c r="E16" s="29"/>
      <c r="F16" s="26"/>
    </row>
    <row r="17" spans="1:8" customFormat="1" ht="12" customHeight="1">
      <c r="A17" s="39"/>
      <c r="B17" s="40" t="s">
        <v>22</v>
      </c>
      <c r="C17" s="41"/>
      <c r="D17" s="25"/>
      <c r="E17" s="42"/>
      <c r="F17" s="43"/>
    </row>
    <row r="18" spans="1:8" customFormat="1" ht="12" customHeight="1">
      <c r="A18" s="39"/>
      <c r="B18" s="40" t="s">
        <v>23</v>
      </c>
      <c r="C18" s="41"/>
      <c r="D18" s="25"/>
      <c r="E18" s="42"/>
      <c r="F18" s="43"/>
    </row>
    <row r="19" spans="1:8" customFormat="1" ht="12" customHeight="1">
      <c r="A19" s="39"/>
      <c r="B19" s="40" t="s">
        <v>24</v>
      </c>
      <c r="C19" s="41"/>
      <c r="D19" s="25"/>
      <c r="E19" s="42"/>
      <c r="F19" s="43"/>
    </row>
    <row r="20" spans="1:8" customFormat="1" ht="12" customHeight="1">
      <c r="A20" s="39"/>
      <c r="B20" s="40" t="s">
        <v>25</v>
      </c>
      <c r="C20" s="41"/>
      <c r="D20" s="25"/>
      <c r="E20" s="42"/>
      <c r="F20" s="43"/>
    </row>
    <row r="21" spans="1:8" customFormat="1" ht="12" customHeight="1">
      <c r="A21" s="39"/>
      <c r="B21" s="40" t="s">
        <v>26</v>
      </c>
      <c r="C21" s="41"/>
      <c r="D21" s="25"/>
      <c r="E21" s="42"/>
      <c r="F21" s="43"/>
    </row>
    <row r="22" spans="1:8" customFormat="1" ht="12" customHeight="1">
      <c r="A22" s="39"/>
      <c r="B22" s="40" t="s">
        <v>27</v>
      </c>
      <c r="C22" s="41"/>
      <c r="D22" s="25"/>
      <c r="E22" s="42"/>
      <c r="F22" s="43"/>
    </row>
    <row r="23" spans="1:8" customFormat="1" ht="12" customHeight="1">
      <c r="A23" s="39"/>
      <c r="B23" s="40" t="s">
        <v>28</v>
      </c>
      <c r="C23" s="41"/>
      <c r="D23" s="25"/>
      <c r="E23" s="42"/>
      <c r="F23" s="43"/>
    </row>
    <row r="24" spans="1:8" customFormat="1" ht="12" customHeight="1">
      <c r="A24" s="39"/>
      <c r="B24" s="40" t="s">
        <v>29</v>
      </c>
      <c r="C24" s="41"/>
      <c r="D24" s="25"/>
      <c r="E24" s="42"/>
      <c r="F24" s="43"/>
    </row>
    <row r="25" spans="1:8" customFormat="1" ht="12" customHeight="1">
      <c r="A25" s="39"/>
      <c r="B25" s="40" t="s">
        <v>30</v>
      </c>
      <c r="C25" s="41"/>
      <c r="D25" s="25"/>
      <c r="E25" s="42"/>
      <c r="F25" s="43"/>
    </row>
    <row r="26" spans="1:8" customFormat="1" ht="12" customHeight="1">
      <c r="A26" s="39"/>
      <c r="B26" s="40" t="s">
        <v>31</v>
      </c>
      <c r="C26" s="41"/>
      <c r="D26" s="25"/>
      <c r="E26" s="42"/>
      <c r="F26" s="43"/>
    </row>
    <row r="27" spans="1:8" customFormat="1" ht="12" customHeight="1">
      <c r="A27" s="39"/>
      <c r="B27" s="40" t="s">
        <v>32</v>
      </c>
      <c r="C27" s="41"/>
      <c r="D27" s="25"/>
      <c r="E27" s="42"/>
      <c r="F27" s="43"/>
      <c r="H27" t="s">
        <v>33</v>
      </c>
    </row>
    <row r="28" spans="1:8" customFormat="1" ht="12" customHeight="1">
      <c r="A28" s="39"/>
      <c r="B28" s="40" t="s">
        <v>34</v>
      </c>
      <c r="C28" s="41"/>
      <c r="D28" s="25"/>
      <c r="E28" s="42"/>
      <c r="F28" s="43"/>
    </row>
    <row r="29" spans="1:8" customFormat="1" ht="12" customHeight="1">
      <c r="A29" s="39"/>
      <c r="B29" s="40" t="s">
        <v>35</v>
      </c>
      <c r="C29" s="41"/>
      <c r="D29" s="25"/>
      <c r="E29" s="42"/>
      <c r="F29" s="43"/>
    </row>
    <row r="30" spans="1:8" customFormat="1" ht="12" customHeight="1">
      <c r="A30" s="39"/>
      <c r="B30" s="40" t="s">
        <v>36</v>
      </c>
      <c r="C30" s="41"/>
      <c r="D30" s="25"/>
      <c r="E30" s="42"/>
      <c r="F30" s="43"/>
    </row>
    <row r="31" spans="1:8" customFormat="1" ht="15.75" thickBot="1">
      <c r="A31" s="39"/>
      <c r="B31" s="306"/>
      <c r="C31" s="41"/>
      <c r="D31" s="25"/>
      <c r="E31" s="42"/>
      <c r="F31" s="43"/>
    </row>
    <row r="32" spans="1:8" ht="27" customHeight="1" thickTop="1" thickBot="1">
      <c r="A32" s="22"/>
      <c r="B32" s="50"/>
      <c r="C32" s="474" t="s">
        <v>10</v>
      </c>
      <c r="D32" s="475"/>
      <c r="E32" s="476"/>
      <c r="F32" s="307"/>
    </row>
    <row r="33" spans="1:6" s="1" customFormat="1" ht="16.5" thickTop="1" thickBot="1">
      <c r="A33" s="39"/>
      <c r="B33" s="52"/>
      <c r="C33" s="44"/>
      <c r="D33" s="53"/>
      <c r="E33" s="54"/>
      <c r="F33" s="55"/>
    </row>
    <row r="34" spans="1:6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6" s="1" customFormat="1" ht="15">
      <c r="A35" s="39"/>
      <c r="B35" s="484"/>
      <c r="C35" s="44"/>
      <c r="D35" s="32"/>
      <c r="E35" s="29"/>
      <c r="F35" s="26"/>
    </row>
    <row r="36" spans="1:6" s="1" customFormat="1" ht="15">
      <c r="A36" s="39"/>
      <c r="B36" s="484"/>
      <c r="C36" s="44"/>
      <c r="D36" s="32"/>
      <c r="E36" s="29"/>
      <c r="F36" s="26"/>
    </row>
    <row r="37" spans="1:6" s="1" customFormat="1" ht="15" customHeight="1">
      <c r="A37" s="39" t="s">
        <v>33</v>
      </c>
      <c r="B37" s="484"/>
      <c r="C37" s="44"/>
      <c r="D37" s="32"/>
      <c r="E37" s="29"/>
      <c r="F37" s="26"/>
    </row>
    <row r="38" spans="1:6" s="1" customFormat="1" ht="15.75" thickBot="1">
      <c r="A38" s="39"/>
      <c r="B38" s="485"/>
      <c r="C38" s="44"/>
      <c r="D38" s="32"/>
      <c r="E38" s="29"/>
      <c r="F38" s="26"/>
    </row>
    <row r="39" spans="1:6" s="1" customFormat="1" ht="15.75" thickTop="1">
      <c r="A39" s="39"/>
      <c r="B39" s="56"/>
      <c r="C39" s="44"/>
      <c r="D39" s="32"/>
      <c r="E39" s="57"/>
      <c r="F39" s="26"/>
    </row>
    <row r="40" spans="1:6">
      <c r="A40" s="301">
        <f>A7+0.1</f>
        <v>10.199999999999999</v>
      </c>
      <c r="B40" s="61" t="s">
        <v>38</v>
      </c>
      <c r="C40" s="69"/>
      <c r="D40" s="32"/>
      <c r="E40" s="308"/>
      <c r="F40" s="309"/>
    </row>
    <row r="41" spans="1:6">
      <c r="A41" s="22">
        <f>A40+0.001</f>
        <v>10.200999999999999</v>
      </c>
      <c r="B41" s="61" t="s">
        <v>39</v>
      </c>
      <c r="C41" s="24"/>
      <c r="D41" s="32"/>
      <c r="E41" s="29"/>
      <c r="F41" s="26"/>
    </row>
    <row r="42" spans="1:6" s="64" customFormat="1" ht="12" customHeight="1">
      <c r="A42" s="39"/>
      <c r="B42" s="63" t="s">
        <v>218</v>
      </c>
      <c r="C42" s="24" t="s">
        <v>41</v>
      </c>
      <c r="D42" s="32">
        <f>SUM(D59,D60,D62)</f>
        <v>503.67</v>
      </c>
      <c r="E42" s="29"/>
      <c r="F42" s="30"/>
    </row>
    <row r="43" spans="1:6" s="64" customFormat="1" ht="12" customHeight="1" thickBot="1">
      <c r="A43" s="39"/>
      <c r="B43" s="63"/>
      <c r="C43" s="310"/>
      <c r="D43" s="25"/>
      <c r="E43" s="311"/>
      <c r="F43" s="43"/>
    </row>
    <row r="44" spans="1:6" ht="27" customHeight="1" thickTop="1" thickBot="1">
      <c r="A44" s="22"/>
      <c r="B44" s="67"/>
      <c r="C44" s="474" t="str">
        <f>+B40</f>
        <v>DEMOLITION - DEPOSE</v>
      </c>
      <c r="D44" s="475"/>
      <c r="E44" s="476"/>
      <c r="F44" s="307"/>
    </row>
    <row r="45" spans="1:6" ht="12.75" thickTop="1">
      <c r="A45" s="22"/>
      <c r="B45" s="68"/>
      <c r="C45" s="24"/>
      <c r="D45" s="32"/>
      <c r="E45" s="29"/>
      <c r="F45" s="26"/>
    </row>
    <row r="46" spans="1:6">
      <c r="A46" s="301">
        <f>A40+0.1</f>
        <v>10.299999999999999</v>
      </c>
      <c r="B46" s="61" t="s">
        <v>42</v>
      </c>
      <c r="C46" s="69"/>
      <c r="D46" s="32"/>
      <c r="E46" s="308"/>
      <c r="F46" s="309"/>
    </row>
    <row r="47" spans="1:6">
      <c r="A47" s="22">
        <f>A46+0.001</f>
        <v>10.300999999999998</v>
      </c>
      <c r="B47" s="61" t="s">
        <v>43</v>
      </c>
      <c r="C47" s="69"/>
      <c r="D47" s="32"/>
      <c r="E47" s="308"/>
      <c r="F47" s="309"/>
    </row>
    <row r="48" spans="1:6" s="64" customFormat="1" ht="12" customHeight="1">
      <c r="A48" s="39"/>
      <c r="B48" s="63" t="s">
        <v>219</v>
      </c>
      <c r="C48" s="312"/>
      <c r="D48" s="313"/>
      <c r="E48" s="57"/>
      <c r="F48" s="26"/>
    </row>
    <row r="49" spans="1:11" s="64" customFormat="1" ht="12" customHeight="1">
      <c r="A49" s="72"/>
      <c r="B49" s="63" t="s">
        <v>220</v>
      </c>
      <c r="C49" s="312" t="s">
        <v>41</v>
      </c>
      <c r="D49" s="32">
        <f>(41.48*2.7)-((6*1.5*1.7)+(1.5*2.1)+(1.5*2.7)+(2.07*1.1)+(2.5*1.7)+(1*2.1))</f>
        <v>80.869</v>
      </c>
      <c r="E49" s="29"/>
      <c r="F49" s="30"/>
    </row>
    <row r="50" spans="1:11" s="64" customFormat="1" ht="12" customHeight="1">
      <c r="A50" s="72"/>
      <c r="B50" s="63" t="s">
        <v>221</v>
      </c>
      <c r="C50" s="312" t="s">
        <v>41</v>
      </c>
      <c r="D50" s="32">
        <f>(48.69*2.7)-((2.5*1.7)+(2*1.5*2.1)+(6*1.5*1.7))</f>
        <v>105.613</v>
      </c>
      <c r="E50" s="29"/>
      <c r="F50" s="30"/>
    </row>
    <row r="51" spans="1:11" s="64" customFormat="1" ht="12" customHeight="1">
      <c r="A51" s="72"/>
      <c r="B51" s="63" t="s">
        <v>222</v>
      </c>
      <c r="C51" s="312"/>
      <c r="D51" s="32"/>
      <c r="E51" s="57"/>
      <c r="F51" s="26"/>
    </row>
    <row r="52" spans="1:11" s="64" customFormat="1" ht="12" customHeight="1">
      <c r="A52" s="72"/>
      <c r="B52" s="23" t="s">
        <v>223</v>
      </c>
      <c r="C52" s="312" t="s">
        <v>41</v>
      </c>
      <c r="D52" s="32">
        <f>(90.62*2.7)-((0.9*2.1)+(3*1.5*2.1)+(7*1.5*1.7)+(2.07*1.91))</f>
        <v>211.53030000000004</v>
      </c>
      <c r="E52" s="29"/>
      <c r="F52" s="30"/>
    </row>
    <row r="53" spans="1:11" s="64" customFormat="1" ht="12" customHeight="1" thickBot="1">
      <c r="A53" s="39"/>
      <c r="B53" s="314"/>
      <c r="C53" s="315"/>
      <c r="D53" s="25"/>
      <c r="E53" s="311"/>
      <c r="F53" s="43"/>
    </row>
    <row r="54" spans="1:11" s="64" customFormat="1" ht="27" customHeight="1" thickTop="1" thickBot="1">
      <c r="A54" s="22"/>
      <c r="B54" s="66"/>
      <c r="C54" s="474" t="s">
        <v>52</v>
      </c>
      <c r="D54" s="475"/>
      <c r="E54" s="476"/>
      <c r="F54" s="307"/>
    </row>
    <row r="55" spans="1:11" s="64" customFormat="1" ht="12" customHeight="1" thickTop="1" thickBot="1">
      <c r="A55" s="440"/>
      <c r="B55" s="441"/>
      <c r="C55" s="83"/>
      <c r="D55" s="373"/>
      <c r="E55" s="469"/>
      <c r="F55" s="444"/>
    </row>
    <row r="56" spans="1:11" s="64" customFormat="1" ht="12" customHeight="1" thickTop="1">
      <c r="A56" s="90">
        <f>A46+0.1</f>
        <v>10.399999999999999</v>
      </c>
      <c r="B56" s="407" t="s">
        <v>53</v>
      </c>
      <c r="C56" s="423"/>
      <c r="D56" s="11"/>
      <c r="E56" s="467"/>
      <c r="F56" s="468"/>
    </row>
    <row r="57" spans="1:11" s="64" customFormat="1" ht="12" customHeight="1">
      <c r="A57" s="22"/>
      <c r="B57" s="61" t="s">
        <v>141</v>
      </c>
      <c r="C57" s="24"/>
      <c r="D57" s="32"/>
      <c r="E57" s="317"/>
      <c r="F57" s="26"/>
    </row>
    <row r="58" spans="1:11" s="46" customFormat="1" ht="12" customHeight="1">
      <c r="A58" s="72"/>
      <c r="B58" s="63" t="s">
        <v>219</v>
      </c>
      <c r="C58" s="24"/>
      <c r="D58" s="313"/>
      <c r="E58" s="317"/>
      <c r="F58" s="26"/>
    </row>
    <row r="59" spans="1:11" s="64" customFormat="1" ht="12" customHeight="1">
      <c r="A59" s="39"/>
      <c r="B59" s="63" t="s">
        <v>220</v>
      </c>
      <c r="C59" s="24" t="s">
        <v>41</v>
      </c>
      <c r="D59" s="32">
        <v>95.6</v>
      </c>
      <c r="E59" s="29"/>
      <c r="F59" s="30"/>
    </row>
    <row r="60" spans="1:11" s="64" customFormat="1" ht="12" customHeight="1">
      <c r="A60" s="39"/>
      <c r="B60" s="63" t="s">
        <v>221</v>
      </c>
      <c r="C60" s="24" t="s">
        <v>41</v>
      </c>
      <c r="D60" s="32">
        <v>139.4</v>
      </c>
      <c r="E60" s="29"/>
      <c r="F60" s="30"/>
    </row>
    <row r="61" spans="1:11" s="64" customFormat="1" ht="12" customHeight="1">
      <c r="A61" s="39"/>
      <c r="B61" s="63" t="s">
        <v>222</v>
      </c>
      <c r="C61" s="24"/>
      <c r="D61" s="32"/>
      <c r="E61" s="317"/>
      <c r="F61" s="30"/>
    </row>
    <row r="62" spans="1:11" s="64" customFormat="1" ht="24">
      <c r="A62" s="39"/>
      <c r="B62" s="23" t="s">
        <v>223</v>
      </c>
      <c r="C62" s="24" t="s">
        <v>41</v>
      </c>
      <c r="D62" s="32">
        <v>268.67</v>
      </c>
      <c r="E62" s="29"/>
      <c r="F62" s="30"/>
    </row>
    <row r="63" spans="1:11" s="64" customFormat="1" ht="12" customHeight="1" thickBot="1">
      <c r="A63" s="39"/>
      <c r="B63" s="63"/>
      <c r="C63" s="24"/>
      <c r="D63" s="32"/>
      <c r="E63" s="57"/>
      <c r="F63" s="26"/>
    </row>
    <row r="64" spans="1:11" s="64" customFormat="1" ht="27" customHeight="1" thickTop="1" thickBot="1">
      <c r="A64" s="90"/>
      <c r="B64" s="63" t="s">
        <v>33</v>
      </c>
      <c r="C64" s="474" t="str">
        <f>+B56</f>
        <v>FAUX PLAFOND</v>
      </c>
      <c r="D64" s="475"/>
      <c r="E64" s="476"/>
      <c r="F64" s="307"/>
      <c r="K64" s="64" t="s">
        <v>33</v>
      </c>
    </row>
    <row r="65" spans="1:6" s="64" customFormat="1" ht="12" customHeight="1" thickTop="1" thickBot="1">
      <c r="A65" s="90"/>
      <c r="B65" s="63"/>
      <c r="C65" s="69"/>
      <c r="D65" s="32"/>
      <c r="E65" s="317"/>
      <c r="F65" s="26"/>
    </row>
    <row r="66" spans="1:6" s="64" customFormat="1" ht="30" customHeight="1" thickTop="1" thickBot="1">
      <c r="A66" s="477" t="s">
        <v>63</v>
      </c>
      <c r="B66" s="478"/>
      <c r="C66" s="478"/>
      <c r="D66" s="478"/>
      <c r="E66" s="479"/>
      <c r="F66" s="102"/>
    </row>
    <row r="67" spans="1:6" s="64" customFormat="1" ht="12" customHeight="1" thickTop="1">
      <c r="A67" s="103"/>
      <c r="B67" s="104"/>
      <c r="C67" s="14"/>
      <c r="D67" s="47"/>
      <c r="E67" s="105"/>
      <c r="F67" s="318"/>
    </row>
    <row r="68" spans="1:6" s="64" customFormat="1" ht="12" customHeight="1">
      <c r="A68" s="103"/>
      <c r="B68" s="104"/>
      <c r="C68" s="14"/>
      <c r="D68" s="47"/>
      <c r="E68" s="105"/>
      <c r="F68" s="318"/>
    </row>
    <row r="69" spans="1:6" s="46" customFormat="1" ht="27" customHeight="1">
      <c r="A69" s="107" t="s">
        <v>64</v>
      </c>
      <c r="B69" s="104"/>
      <c r="C69" s="14"/>
      <c r="D69" s="47"/>
      <c r="E69" s="105"/>
      <c r="F69" s="318"/>
    </row>
    <row r="70" spans="1:6" s="46" customFormat="1">
      <c r="A70" s="103"/>
      <c r="B70" s="104"/>
      <c r="C70" s="14"/>
      <c r="D70" s="47"/>
      <c r="E70" s="105"/>
      <c r="F70" s="318"/>
    </row>
    <row r="71" spans="1:6" s="46" customFormat="1" ht="30" customHeight="1">
      <c r="A71" s="103"/>
      <c r="B71" s="104"/>
      <c r="C71" s="14"/>
      <c r="D71" s="47"/>
      <c r="E71" s="105"/>
      <c r="F71" s="318"/>
    </row>
    <row r="73" spans="1:6" ht="15" customHeight="1">
      <c r="D73" s="480"/>
      <c r="E73" s="480"/>
      <c r="F73" s="298"/>
    </row>
    <row r="74" spans="1:6">
      <c r="D74" s="111"/>
      <c r="E74" s="111"/>
      <c r="F74" s="112"/>
    </row>
  </sheetData>
  <mergeCells count="14">
    <mergeCell ref="E9:F9"/>
    <mergeCell ref="A1:F1"/>
    <mergeCell ref="A2:F2"/>
    <mergeCell ref="A3:F3"/>
    <mergeCell ref="A4:F4"/>
    <mergeCell ref="E8:F8"/>
    <mergeCell ref="A66:E66"/>
    <mergeCell ref="D73:E73"/>
    <mergeCell ref="E11:F11"/>
    <mergeCell ref="C32:E32"/>
    <mergeCell ref="B34:B38"/>
    <mergeCell ref="C44:E44"/>
    <mergeCell ref="C54:E54"/>
    <mergeCell ref="C64:E64"/>
  </mergeCells>
  <conditionalFormatting sqref="E10 E49:E50 E52 E62">
    <cfRule type="cellIs" dxfId="71" priority="2" operator="equal">
      <formula>0</formula>
    </cfRule>
  </conditionalFormatting>
  <conditionalFormatting sqref="E42">
    <cfRule type="cellIs" dxfId="70" priority="3" operator="equal">
      <formula>0</formula>
    </cfRule>
  </conditionalFormatting>
  <conditionalFormatting sqref="E59:E60">
    <cfRule type="cellIs" dxfId="69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AF87C-8F41-4F8A-8F92-0702E87DEE88}">
  <sheetPr codeName="Feuil121">
    <pageSetUpPr fitToPage="1"/>
  </sheetPr>
  <dimension ref="A1:I297"/>
  <sheetViews>
    <sheetView topLeftCell="A264" zoomScaleNormal="100" zoomScaleSheetLayoutView="85" workbookViewId="0">
      <selection activeCell="K275" sqref="K275"/>
    </sheetView>
  </sheetViews>
  <sheetFormatPr baseColWidth="10" defaultColWidth="11.42578125" defaultRowHeight="12"/>
  <cols>
    <col min="1" max="1" width="9" style="103" customWidth="1"/>
    <col min="2" max="2" width="50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8" customFormat="1" ht="33.950000000000003" customHeight="1" thickTop="1" thickBot="1">
      <c r="A1" s="489" t="s">
        <v>65</v>
      </c>
      <c r="B1" s="490"/>
      <c r="C1" s="490"/>
      <c r="D1" s="490"/>
      <c r="E1" s="490"/>
      <c r="F1" s="491"/>
    </row>
    <row r="2" spans="1:8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8" customFormat="1" ht="33.950000000000003" customHeight="1" thickTop="1" thickBot="1">
      <c r="A3" s="489" t="s">
        <v>224</v>
      </c>
      <c r="B3" s="490"/>
      <c r="C3" s="490"/>
      <c r="D3" s="490"/>
      <c r="E3" s="490"/>
      <c r="F3" s="491"/>
    </row>
    <row r="4" spans="1:8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8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8" ht="13.5" thickTop="1">
      <c r="A6" s="8"/>
      <c r="B6" s="58"/>
      <c r="C6" s="10"/>
      <c r="D6" s="11"/>
      <c r="E6" s="12"/>
      <c r="F6" s="319"/>
    </row>
    <row r="7" spans="1:8" s="21" customFormat="1" ht="20.100000000000001" customHeight="1">
      <c r="A7" s="15">
        <v>10.1</v>
      </c>
      <c r="B7" s="58" t="s">
        <v>10</v>
      </c>
      <c r="C7" s="17"/>
      <c r="D7" s="18"/>
      <c r="E7" s="320"/>
      <c r="F7" s="321"/>
    </row>
    <row r="8" spans="1:8" s="322" customForma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8" s="322" customFormat="1" ht="24.75" customHeight="1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8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8">
      <c r="A11" s="304">
        <f>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8">
      <c r="A12" s="304"/>
      <c r="B12" s="23"/>
      <c r="C12" s="24"/>
      <c r="D12" s="323"/>
      <c r="E12" s="29"/>
      <c r="F12" s="26"/>
    </row>
    <row r="13" spans="1:8" customFormat="1" ht="12" customHeight="1">
      <c r="A13" s="39"/>
      <c r="B13" s="40" t="s">
        <v>18</v>
      </c>
      <c r="C13" s="41"/>
      <c r="D13" s="25"/>
      <c r="E13" s="42"/>
      <c r="F13" s="43"/>
    </row>
    <row r="14" spans="1:8" customFormat="1" ht="12" customHeight="1">
      <c r="A14" s="39"/>
      <c r="B14" s="40" t="s">
        <v>19</v>
      </c>
      <c r="C14" s="41"/>
      <c r="D14" s="25"/>
      <c r="E14" s="42"/>
      <c r="F14" s="43"/>
    </row>
    <row r="15" spans="1:8" customFormat="1" ht="12" customHeight="1">
      <c r="A15" s="39"/>
      <c r="B15" s="40" t="s">
        <v>20</v>
      </c>
      <c r="C15" s="41"/>
      <c r="D15" s="25"/>
      <c r="E15" s="42"/>
      <c r="F15" s="43"/>
    </row>
    <row r="16" spans="1:8" customFormat="1" ht="12" customHeight="1">
      <c r="A16" s="39"/>
      <c r="B16" s="40" t="s">
        <v>21</v>
      </c>
      <c r="C16" s="44"/>
      <c r="D16" s="32"/>
      <c r="E16" s="29"/>
      <c r="F16" s="26"/>
      <c r="H16" t="s">
        <v>33</v>
      </c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25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28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30</v>
      </c>
      <c r="C25" s="41"/>
      <c r="D25" s="25"/>
      <c r="E25" s="42"/>
      <c r="F25" s="43"/>
    </row>
    <row r="26" spans="1:6" customFormat="1" ht="12" customHeight="1">
      <c r="A26" s="39"/>
      <c r="B26" s="40" t="s">
        <v>31</v>
      </c>
      <c r="C26" s="41"/>
      <c r="D26" s="25"/>
      <c r="E26" s="42"/>
      <c r="F26" s="43"/>
    </row>
    <row r="27" spans="1:6" customFormat="1" ht="12" customHeight="1">
      <c r="A27" s="39"/>
      <c r="B27" s="40" t="s">
        <v>32</v>
      </c>
      <c r="C27" s="41"/>
      <c r="D27" s="25"/>
      <c r="E27" s="42"/>
      <c r="F27" s="43"/>
    </row>
    <row r="28" spans="1:6" customFormat="1" ht="12" customHeight="1">
      <c r="A28" s="39"/>
      <c r="B28" s="40" t="s">
        <v>34</v>
      </c>
      <c r="C28" s="41"/>
      <c r="D28" s="25"/>
      <c r="E28" s="42"/>
      <c r="F28" s="43"/>
    </row>
    <row r="29" spans="1:6" customFormat="1" ht="12" customHeight="1">
      <c r="A29" s="39"/>
      <c r="B29" s="40" t="s">
        <v>35</v>
      </c>
      <c r="C29" s="41"/>
      <c r="D29" s="25"/>
      <c r="E29" s="42"/>
      <c r="F29" s="43"/>
    </row>
    <row r="30" spans="1:6" customFormat="1" ht="12" customHeight="1">
      <c r="A30" s="39"/>
      <c r="B30" s="40" t="s">
        <v>36</v>
      </c>
      <c r="C30" s="41"/>
      <c r="D30" s="25"/>
      <c r="E30" s="42"/>
      <c r="F30" s="43"/>
    </row>
    <row r="31" spans="1:6" ht="12.75" thickBot="1">
      <c r="A31" s="22"/>
      <c r="B31" s="324"/>
      <c r="C31" s="310"/>
      <c r="D31" s="25"/>
      <c r="E31" s="42"/>
      <c r="F31" s="43"/>
    </row>
    <row r="32" spans="1:6" ht="27" customHeight="1" thickTop="1" thickBot="1">
      <c r="A32" s="22"/>
      <c r="B32" s="50"/>
      <c r="C32" s="474" t="str">
        <f>+B7</f>
        <v>TRAVAUX PRELIMINAIRES</v>
      </c>
      <c r="D32" s="475"/>
      <c r="E32" s="476"/>
      <c r="F32" s="51"/>
    </row>
    <row r="33" spans="1:9" s="1" customFormat="1" ht="16.5" thickTop="1" thickBot="1">
      <c r="A33" s="39"/>
      <c r="B33" s="52"/>
      <c r="C33" s="44"/>
      <c r="D33" s="53"/>
      <c r="E33" s="54"/>
      <c r="F33" s="55"/>
    </row>
    <row r="34" spans="1:9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9" s="1" customFormat="1" ht="15">
      <c r="A35" s="39"/>
      <c r="B35" s="484"/>
      <c r="C35" s="44"/>
      <c r="D35" s="32"/>
      <c r="E35" s="29"/>
      <c r="F35" s="26"/>
    </row>
    <row r="36" spans="1:9" s="1" customFormat="1" ht="15">
      <c r="A36" s="39"/>
      <c r="B36" s="484"/>
      <c r="C36" s="44"/>
      <c r="D36" s="32"/>
      <c r="E36" s="29"/>
      <c r="F36" s="26"/>
    </row>
    <row r="37" spans="1:9" s="1" customFormat="1" ht="15" customHeight="1">
      <c r="A37" s="39" t="s">
        <v>33</v>
      </c>
      <c r="B37" s="484"/>
      <c r="C37" s="44"/>
      <c r="D37" s="32"/>
      <c r="E37" s="29"/>
      <c r="F37" s="26"/>
    </row>
    <row r="38" spans="1:9" s="1" customFormat="1" ht="15.75" thickBot="1">
      <c r="A38" s="39"/>
      <c r="B38" s="485"/>
      <c r="C38" s="44"/>
      <c r="D38" s="32"/>
      <c r="E38" s="29"/>
      <c r="F38" s="26"/>
    </row>
    <row r="39" spans="1:9" s="1" customFormat="1" ht="15.75" thickTop="1">
      <c r="A39" s="39"/>
      <c r="B39" s="56"/>
      <c r="C39" s="44"/>
      <c r="D39" s="32"/>
      <c r="E39" s="57"/>
      <c r="F39" s="30"/>
    </row>
    <row r="40" spans="1:9" s="21" customFormat="1" ht="20.100000000000001" customHeight="1">
      <c r="A40" s="15">
        <f>A7+0.1</f>
        <v>10.199999999999999</v>
      </c>
      <c r="B40" s="58" t="s">
        <v>38</v>
      </c>
      <c r="C40" s="17"/>
      <c r="D40" s="18"/>
      <c r="E40" s="320"/>
      <c r="F40" s="321"/>
    </row>
    <row r="41" spans="1:9" ht="15" customHeight="1">
      <c r="A41" s="22">
        <f>A40+0.001</f>
        <v>10.200999999999999</v>
      </c>
      <c r="B41" s="61" t="s">
        <v>39</v>
      </c>
      <c r="C41" s="24"/>
      <c r="D41" s="32"/>
      <c r="E41" s="29"/>
      <c r="F41" s="26"/>
    </row>
    <row r="42" spans="1:9" s="325" customFormat="1">
      <c r="A42" s="22"/>
      <c r="B42" s="56" t="s">
        <v>225</v>
      </c>
      <c r="C42" s="24" t="s">
        <v>41</v>
      </c>
      <c r="D42" s="32">
        <v>337.8839999999999</v>
      </c>
      <c r="E42" s="29"/>
      <c r="F42" s="30"/>
    </row>
    <row r="43" spans="1:9" s="325" customFormat="1">
      <c r="A43" s="22"/>
      <c r="B43" s="56" t="s">
        <v>226</v>
      </c>
      <c r="C43" s="24" t="s">
        <v>41</v>
      </c>
      <c r="D43" s="32">
        <v>381.46999999999997</v>
      </c>
      <c r="E43" s="29"/>
      <c r="F43" s="30"/>
    </row>
    <row r="44" spans="1:9" s="325" customFormat="1">
      <c r="A44" s="22"/>
      <c r="B44" s="56" t="s">
        <v>227</v>
      </c>
      <c r="C44" s="24" t="s">
        <v>41</v>
      </c>
      <c r="D44" s="32">
        <v>279.29999999999995</v>
      </c>
      <c r="E44" s="29"/>
      <c r="F44" s="30"/>
    </row>
    <row r="45" spans="1:9" s="325" customFormat="1">
      <c r="A45" s="22"/>
      <c r="B45" s="56" t="s">
        <v>228</v>
      </c>
      <c r="C45" s="24" t="s">
        <v>41</v>
      </c>
      <c r="D45" s="32">
        <v>302.05</v>
      </c>
      <c r="E45" s="29"/>
      <c r="F45" s="30"/>
    </row>
    <row r="46" spans="1:9" s="325" customFormat="1" ht="12.75" thickBot="1">
      <c r="A46" s="22"/>
      <c r="B46" s="63"/>
      <c r="C46" s="310"/>
      <c r="D46" s="25"/>
      <c r="E46" s="42"/>
      <c r="F46" s="26"/>
    </row>
    <row r="47" spans="1:9" ht="27" customHeight="1" thickTop="1" thickBot="1">
      <c r="A47" s="22"/>
      <c r="B47" s="326"/>
      <c r="C47" s="474" t="str">
        <f>+B40</f>
        <v>DEMOLITION - DEPOSE</v>
      </c>
      <c r="D47" s="475"/>
      <c r="E47" s="476"/>
      <c r="F47" s="51"/>
      <c r="H47" s="325"/>
      <c r="I47" s="14" t="s">
        <v>33</v>
      </c>
    </row>
    <row r="48" spans="1:9" ht="12.75" thickTop="1">
      <c r="A48" s="22"/>
      <c r="B48" s="68"/>
      <c r="C48" s="10"/>
      <c r="D48" s="11"/>
      <c r="E48" s="12"/>
      <c r="F48" s="26"/>
    </row>
    <row r="49" spans="1:6" s="21" customFormat="1" ht="20.100000000000001" customHeight="1">
      <c r="A49" s="15">
        <f>A40+0.1</f>
        <v>10.299999999999999</v>
      </c>
      <c r="B49" s="58" t="s">
        <v>42</v>
      </c>
      <c r="C49" s="17"/>
      <c r="D49" s="18"/>
      <c r="E49" s="320"/>
      <c r="F49" s="321"/>
    </row>
    <row r="50" spans="1:6" ht="15" customHeight="1">
      <c r="A50" s="22">
        <f>A49+0.001</f>
        <v>10.300999999999998</v>
      </c>
      <c r="B50" s="61" t="s">
        <v>43</v>
      </c>
      <c r="C50" s="69"/>
      <c r="D50" s="32"/>
      <c r="E50" s="308"/>
      <c r="F50" s="327"/>
    </row>
    <row r="51" spans="1:6" s="1" customFormat="1" ht="12" customHeight="1">
      <c r="A51" s="328"/>
      <c r="B51" s="56" t="s">
        <v>225</v>
      </c>
      <c r="C51" s="329"/>
      <c r="D51" s="330"/>
      <c r="E51" s="331"/>
      <c r="F51" s="332"/>
    </row>
    <row r="52" spans="1:6" s="1" customFormat="1" ht="12" customHeight="1">
      <c r="A52" s="39"/>
      <c r="B52" s="333" t="s">
        <v>229</v>
      </c>
      <c r="C52" s="329" t="s">
        <v>41</v>
      </c>
      <c r="D52" s="334">
        <f>(14.86*2.7)-((0.9*2.1)+(2*1.6*1.7))</f>
        <v>32.792000000000002</v>
      </c>
      <c r="E52" s="29"/>
      <c r="F52" s="332"/>
    </row>
    <row r="53" spans="1:6" s="1" customFormat="1" ht="12" customHeight="1">
      <c r="A53" s="39"/>
      <c r="B53" s="333" t="s">
        <v>230</v>
      </c>
      <c r="C53" s="329" t="s">
        <v>41</v>
      </c>
      <c r="D53" s="334">
        <f>(19.2*2.7)-((0.9*2.1)+(2*1.6*1.7))</f>
        <v>44.510000000000005</v>
      </c>
      <c r="E53" s="29"/>
      <c r="F53" s="332"/>
    </row>
    <row r="54" spans="1:6" s="1" customFormat="1" ht="15.75" thickBot="1">
      <c r="A54" s="163"/>
      <c r="B54" s="471" t="s">
        <v>231</v>
      </c>
      <c r="C54" s="338" t="s">
        <v>41</v>
      </c>
      <c r="D54" s="339">
        <f>(18.72*2.7)-((0.9*2.1)+(2*1.6*1.7))</f>
        <v>43.213999999999999</v>
      </c>
      <c r="E54" s="78"/>
      <c r="F54" s="412" t="s">
        <v>232</v>
      </c>
    </row>
    <row r="55" spans="1:6" s="1" customFormat="1" ht="15.75" thickTop="1">
      <c r="A55" s="167"/>
      <c r="B55" s="470" t="s">
        <v>233</v>
      </c>
      <c r="C55" s="342" t="s">
        <v>41</v>
      </c>
      <c r="D55" s="343">
        <f>(18.68*2.7)-((0.9*2.1)+(2*1.6*1.7))</f>
        <v>43.106000000000002</v>
      </c>
      <c r="E55" s="12"/>
      <c r="F55" s="319" t="s">
        <v>232</v>
      </c>
    </row>
    <row r="56" spans="1:6" s="1" customFormat="1" ht="15">
      <c r="A56" s="39"/>
      <c r="B56" s="335" t="s">
        <v>234</v>
      </c>
      <c r="C56" s="329" t="s">
        <v>41</v>
      </c>
      <c r="D56" s="334">
        <f>(18.68*2.7)-((0.9*2.1)+(2*1.6*1.7))</f>
        <v>43.106000000000002</v>
      </c>
      <c r="E56" s="29"/>
      <c r="F56" s="26" t="s">
        <v>232</v>
      </c>
    </row>
    <row r="57" spans="1:6" s="1" customFormat="1" ht="15">
      <c r="A57" s="39"/>
      <c r="B57" s="335" t="s">
        <v>235</v>
      </c>
      <c r="C57" s="329" t="s">
        <v>41</v>
      </c>
      <c r="D57" s="334">
        <f>(18.44*2.7)-((0.9*2.1)+(2*1.6*1.7))</f>
        <v>42.458000000000006</v>
      </c>
      <c r="E57" s="29"/>
      <c r="F57" s="26" t="s">
        <v>232</v>
      </c>
    </row>
    <row r="58" spans="1:6" s="1" customFormat="1" ht="15">
      <c r="A58" s="39"/>
      <c r="B58" s="336" t="s">
        <v>236</v>
      </c>
      <c r="C58" s="329" t="s">
        <v>41</v>
      </c>
      <c r="D58" s="334">
        <f>(35.59*2.7)-((2*0.9*2.1)+(3*1.65*1.7)+(2*1.5*1.7))</f>
        <v>78.798000000000016</v>
      </c>
      <c r="E58" s="29"/>
      <c r="F58" s="332"/>
    </row>
    <row r="59" spans="1:6" s="1" customFormat="1" ht="15">
      <c r="A59" s="39"/>
      <c r="B59" s="335" t="s">
        <v>237</v>
      </c>
      <c r="C59" s="329" t="s">
        <v>41</v>
      </c>
      <c r="D59" s="334">
        <f>(21.56*2.7)-((0.9*2.1)+(2*1.65*1.7)+(1.5*1.7))</f>
        <v>48.162000000000006</v>
      </c>
      <c r="E59" s="29"/>
      <c r="F59" s="26" t="s">
        <v>232</v>
      </c>
    </row>
    <row r="60" spans="1:6" s="1" customFormat="1" ht="15">
      <c r="A60" s="39"/>
      <c r="B60" s="335" t="s">
        <v>238</v>
      </c>
      <c r="C60" s="329" t="s">
        <v>41</v>
      </c>
      <c r="D60" s="334">
        <f>(21.46*2.7)-((0.9*2.1)+(2*1.65*1.7)+(1.5*1.7))</f>
        <v>47.89200000000001</v>
      </c>
      <c r="E60" s="29"/>
      <c r="F60" s="26" t="s">
        <v>232</v>
      </c>
    </row>
    <row r="61" spans="1:6" s="1" customFormat="1" ht="15">
      <c r="A61" s="39"/>
      <c r="B61" s="335" t="s">
        <v>239</v>
      </c>
      <c r="C61" s="329" t="s">
        <v>41</v>
      </c>
      <c r="D61" s="334">
        <f>(19.28*2.7)-((0.9*2.1)+(2*1.65*1.7))</f>
        <v>44.556000000000004</v>
      </c>
      <c r="E61" s="29"/>
      <c r="F61" s="26" t="s">
        <v>232</v>
      </c>
    </row>
    <row r="62" spans="1:6" s="1" customFormat="1" ht="15">
      <c r="A62" s="39"/>
      <c r="B62" s="335" t="s">
        <v>240</v>
      </c>
      <c r="C62" s="329" t="s">
        <v>41</v>
      </c>
      <c r="D62" s="334">
        <f>(18.69*2.7)-((0.9*2.1)+(2*1.65*1.7))</f>
        <v>42.963000000000008</v>
      </c>
      <c r="E62" s="29"/>
      <c r="F62" s="26" t="s">
        <v>232</v>
      </c>
    </row>
    <row r="63" spans="1:6" s="1" customFormat="1" ht="15">
      <c r="A63" s="39"/>
      <c r="B63" s="335" t="s">
        <v>241</v>
      </c>
      <c r="C63" s="329" t="s">
        <v>41</v>
      </c>
      <c r="D63" s="334">
        <f>(18.74*2.7)-((0.9*2.1)+(2*1.6*1.7))</f>
        <v>43.268000000000001</v>
      </c>
      <c r="E63" s="29"/>
      <c r="F63" s="26" t="s">
        <v>232</v>
      </c>
    </row>
    <row r="64" spans="1:6" s="1" customFormat="1" ht="15">
      <c r="A64" s="39"/>
      <c r="B64" s="336" t="s">
        <v>242</v>
      </c>
      <c r="C64" s="329" t="s">
        <v>41</v>
      </c>
      <c r="D64" s="334">
        <f>(39.42*2.7)-((0.9*2.1)+(0.8*2.1*4))</f>
        <v>97.824000000000012</v>
      </c>
      <c r="E64" s="29"/>
      <c r="F64" s="332"/>
    </row>
    <row r="65" spans="1:6" s="1" customFormat="1" ht="15">
      <c r="A65" s="39"/>
      <c r="B65" s="336" t="s">
        <v>243</v>
      </c>
      <c r="C65" s="329" t="s">
        <v>41</v>
      </c>
      <c r="D65" s="334">
        <f>(38.9*2.7)-((0.9*2.1)+(0.8*2.1))</f>
        <v>101.46000000000001</v>
      </c>
      <c r="E65" s="29"/>
      <c r="F65" s="332"/>
    </row>
    <row r="66" spans="1:6" s="1" customFormat="1" ht="15">
      <c r="A66" s="39"/>
      <c r="B66" s="336" t="s">
        <v>244</v>
      </c>
      <c r="C66" s="329" t="s">
        <v>41</v>
      </c>
      <c r="D66" s="334">
        <f>(43.92*2.7)-((1*2.1)+(6*2.1))</f>
        <v>103.88400000000001</v>
      </c>
      <c r="E66" s="29"/>
      <c r="F66" s="332"/>
    </row>
    <row r="67" spans="1:6" s="1" customFormat="1" ht="15">
      <c r="A67" s="39"/>
      <c r="B67" s="336" t="s">
        <v>245</v>
      </c>
      <c r="C67" s="329" t="s">
        <v>41</v>
      </c>
      <c r="D67" s="334">
        <f>(38.67*2.7)-((9*0.9*2.1)+(2*1.5*2.1))</f>
        <v>81.099000000000004</v>
      </c>
      <c r="E67" s="29"/>
      <c r="F67" s="332"/>
    </row>
    <row r="68" spans="1:6" s="1" customFormat="1" ht="15">
      <c r="A68" s="39"/>
      <c r="B68" s="336" t="s">
        <v>246</v>
      </c>
      <c r="C68" s="329" t="s">
        <v>41</v>
      </c>
      <c r="D68" s="334">
        <f>(30.06*2.7)-((6*0.9*2.1)+(2*1.5*2.1))</f>
        <v>63.522000000000006</v>
      </c>
      <c r="E68" s="29"/>
      <c r="F68" s="332"/>
    </row>
    <row r="69" spans="1:6" s="1" customFormat="1" ht="15">
      <c r="A69" s="39"/>
      <c r="B69" s="63" t="s">
        <v>247</v>
      </c>
      <c r="C69" s="329" t="s">
        <v>41</v>
      </c>
      <c r="D69" s="334">
        <f>(42.75*2.7)-((4*1*2.1)+(3*1.5*2.1)+(1.5*2.7)+(1.18*2.1)+(1.6*2.1))</f>
        <v>87.687000000000012</v>
      </c>
      <c r="E69" s="29"/>
      <c r="F69" s="332"/>
    </row>
    <row r="70" spans="1:6" s="1" customFormat="1" ht="15">
      <c r="A70" s="39"/>
      <c r="B70" s="336" t="s">
        <v>248</v>
      </c>
      <c r="C70" s="329" t="s">
        <v>41</v>
      </c>
      <c r="D70" s="334">
        <f>(30.49*2.7)-((0.9*2.1)+(1.5*2.1)+(4*1.6*1.7))</f>
        <v>66.403000000000006</v>
      </c>
      <c r="E70" s="29"/>
      <c r="F70" s="332"/>
    </row>
    <row r="71" spans="1:6" s="1" customFormat="1" ht="15">
      <c r="A71" s="39"/>
      <c r="B71" s="336" t="s">
        <v>249</v>
      </c>
      <c r="C71" s="329" t="s">
        <v>41</v>
      </c>
      <c r="D71" s="334">
        <f>(16.06*2.7)-((1.4*2.7))</f>
        <v>39.582000000000001</v>
      </c>
      <c r="E71" s="29"/>
      <c r="F71" s="332"/>
    </row>
    <row r="72" spans="1:6" s="1" customFormat="1" ht="15">
      <c r="A72" s="39"/>
      <c r="B72" s="336" t="s">
        <v>250</v>
      </c>
      <c r="C72" s="329" t="s">
        <v>41</v>
      </c>
      <c r="D72" s="334">
        <f>(11.92*2.7)-((1*2.1))</f>
        <v>30.084000000000003</v>
      </c>
      <c r="E72" s="29"/>
      <c r="F72" s="332"/>
    </row>
    <row r="73" spans="1:6" s="1" customFormat="1" ht="15">
      <c r="A73" s="39"/>
      <c r="B73" s="336" t="s">
        <v>251</v>
      </c>
      <c r="C73" s="329" t="s">
        <v>41</v>
      </c>
      <c r="D73" s="334">
        <f>(15.17*2.7)-((1*2.1)+(0.9*2.1))</f>
        <v>36.969000000000001</v>
      </c>
      <c r="E73" s="29"/>
      <c r="F73" s="332"/>
    </row>
    <row r="74" spans="1:6" s="1" customFormat="1" ht="15">
      <c r="A74" s="328"/>
      <c r="B74" s="56" t="s">
        <v>226</v>
      </c>
      <c r="C74" s="329"/>
      <c r="D74" s="334"/>
      <c r="E74" s="331"/>
      <c r="F74" s="26"/>
    </row>
    <row r="75" spans="1:6" s="1" customFormat="1" ht="15">
      <c r="A75" s="39"/>
      <c r="B75" s="333" t="s">
        <v>252</v>
      </c>
      <c r="C75" s="329" t="s">
        <v>41</v>
      </c>
      <c r="D75" s="334">
        <f>(41.6*2.7)-((3*2.1)+(1.18*2.1)+(1.5*2.1)+(1.4*2.1)+(1.5*2.7)+(1.6*2.1)+(1.6*1.7))</f>
        <v>87.322000000000003</v>
      </c>
      <c r="E75" s="29"/>
      <c r="F75" s="332"/>
    </row>
    <row r="76" spans="1:6" s="1" customFormat="1" ht="15">
      <c r="A76" s="39"/>
      <c r="B76" s="336" t="s">
        <v>253</v>
      </c>
      <c r="C76" s="329" t="s">
        <v>41</v>
      </c>
      <c r="D76" s="334">
        <f>(12.14*2.7)-(0.9*2.1)</f>
        <v>30.888000000000005</v>
      </c>
      <c r="E76" s="29"/>
      <c r="F76" s="332"/>
    </row>
    <row r="77" spans="1:6" s="1" customFormat="1" ht="15">
      <c r="A77" s="39"/>
      <c r="B77" s="336" t="s">
        <v>254</v>
      </c>
      <c r="C77" s="329" t="s">
        <v>41</v>
      </c>
      <c r="D77" s="334">
        <f>(16.25*2.7)-((0.9*2.1)+(1*2.1))</f>
        <v>39.884999999999998</v>
      </c>
      <c r="E77" s="29"/>
      <c r="F77" s="332"/>
    </row>
    <row r="78" spans="1:6" s="1" customFormat="1" ht="15">
      <c r="A78" s="39"/>
      <c r="B78" s="333" t="s">
        <v>255</v>
      </c>
      <c r="C78" s="329" t="s">
        <v>41</v>
      </c>
      <c r="D78" s="334">
        <f>(21.25*2.7)-((4*1.18*2.1)+(3*1*2.1))</f>
        <v>41.163000000000011</v>
      </c>
      <c r="E78" s="29"/>
      <c r="F78" s="332"/>
    </row>
    <row r="79" spans="1:6" s="1" customFormat="1" ht="15">
      <c r="A79" s="39"/>
      <c r="B79" s="336" t="s">
        <v>256</v>
      </c>
      <c r="C79" s="329" t="s">
        <v>41</v>
      </c>
      <c r="D79" s="334">
        <f>(30.26*2.7)-((0.9*2.1)+(1.5*2.1)+(4*1.6*1.7))</f>
        <v>65.782000000000011</v>
      </c>
      <c r="E79" s="29"/>
      <c r="F79" s="332"/>
    </row>
    <row r="80" spans="1:6" s="1" customFormat="1" ht="15">
      <c r="A80" s="39"/>
      <c r="B80" s="333" t="s">
        <v>257</v>
      </c>
      <c r="C80" s="329" t="s">
        <v>41</v>
      </c>
      <c r="D80" s="334">
        <f>(19.1*2.7)-((0.9*2.1)+(2*1.6*1.7))</f>
        <v>44.240000000000009</v>
      </c>
      <c r="E80" s="29"/>
      <c r="F80" s="26" t="s">
        <v>232</v>
      </c>
    </row>
    <row r="81" spans="1:6" s="1" customFormat="1" ht="15">
      <c r="A81" s="39"/>
      <c r="B81" s="333" t="s">
        <v>258</v>
      </c>
      <c r="C81" s="329" t="s">
        <v>41</v>
      </c>
      <c r="D81" s="334">
        <f>(14.72*2.7)-((0.9*2.1)+(2*1.6*1.7))</f>
        <v>32.414000000000009</v>
      </c>
      <c r="E81" s="29"/>
      <c r="F81" s="26" t="s">
        <v>232</v>
      </c>
    </row>
    <row r="82" spans="1:6" s="1" customFormat="1" ht="15">
      <c r="A82" s="39"/>
      <c r="B82" s="336" t="s">
        <v>259</v>
      </c>
      <c r="C82" s="329" t="s">
        <v>41</v>
      </c>
      <c r="D82" s="334">
        <f>(18.7*2.7)-((0.9*2.1)+(2*1.6*1.7))</f>
        <v>43.160000000000004</v>
      </c>
      <c r="E82" s="29"/>
      <c r="F82" s="26" t="s">
        <v>232</v>
      </c>
    </row>
    <row r="83" spans="1:6" s="1" customFormat="1" ht="15">
      <c r="A83" s="39"/>
      <c r="B83" s="336" t="s">
        <v>260</v>
      </c>
      <c r="C83" s="329" t="s">
        <v>41</v>
      </c>
      <c r="D83" s="334">
        <f>(18.83*2.7)-((0.9*2.1)+(2*1.6*1.7))</f>
        <v>43.511000000000003</v>
      </c>
      <c r="E83" s="29"/>
      <c r="F83" s="26" t="s">
        <v>232</v>
      </c>
    </row>
    <row r="84" spans="1:6" s="1" customFormat="1" ht="15">
      <c r="A84" s="39"/>
      <c r="B84" s="336" t="s">
        <v>261</v>
      </c>
      <c r="C84" s="329" t="s">
        <v>41</v>
      </c>
      <c r="D84" s="334">
        <f>(19.36*2.7)-((0.9*2.1)+(2*1.6*1.7))</f>
        <v>44.942</v>
      </c>
      <c r="E84" s="29"/>
      <c r="F84" s="26" t="s">
        <v>232</v>
      </c>
    </row>
    <row r="85" spans="1:6" s="1" customFormat="1" ht="15">
      <c r="A85" s="39"/>
      <c r="B85" s="336" t="s">
        <v>262</v>
      </c>
      <c r="C85" s="329" t="s">
        <v>41</v>
      </c>
      <c r="D85" s="334">
        <f>(21.61*2.7)-((0.9*2.1)+(3*1.6*1.7))</f>
        <v>48.296999999999997</v>
      </c>
      <c r="E85" s="29"/>
      <c r="F85" s="26" t="s">
        <v>232</v>
      </c>
    </row>
    <row r="86" spans="1:6" s="1" customFormat="1" ht="15">
      <c r="A86" s="39"/>
      <c r="B86" s="336" t="s">
        <v>263</v>
      </c>
      <c r="C86" s="329" t="s">
        <v>41</v>
      </c>
      <c r="D86" s="334">
        <f>(21.69*2.7)-((0.9*2.1)+(3*1.6*1.7))</f>
        <v>48.513000000000005</v>
      </c>
      <c r="E86" s="29"/>
      <c r="F86" s="26" t="s">
        <v>232</v>
      </c>
    </row>
    <row r="87" spans="1:6" s="1" customFormat="1" ht="15">
      <c r="A87" s="39"/>
      <c r="B87" s="336" t="s">
        <v>264</v>
      </c>
      <c r="C87" s="329" t="s">
        <v>41</v>
      </c>
      <c r="D87" s="334">
        <f>(33.39*2.7)-((2*0.9*2.1)+(6*1.6*1.7))</f>
        <v>70.052999999999997</v>
      </c>
      <c r="E87" s="29"/>
      <c r="F87" s="332"/>
    </row>
    <row r="88" spans="1:6" s="1" customFormat="1" ht="15">
      <c r="A88" s="39"/>
      <c r="B88" s="336" t="s">
        <v>265</v>
      </c>
      <c r="C88" s="329" t="s">
        <v>41</v>
      </c>
      <c r="D88" s="334">
        <f>(18.59*2.7)-((0.9*2.1)+(2*1.6*1.7))</f>
        <v>42.863000000000007</v>
      </c>
      <c r="E88" s="29"/>
      <c r="F88" s="26" t="s">
        <v>232</v>
      </c>
    </row>
    <row r="89" spans="1:6" s="1" customFormat="1" ht="15">
      <c r="A89" s="39"/>
      <c r="B89" s="336" t="s">
        <v>266</v>
      </c>
      <c r="C89" s="329" t="s">
        <v>41</v>
      </c>
      <c r="D89" s="334">
        <f>(18.91*2.7)-((0.9*2.1)+(2*1.6*1.7))</f>
        <v>43.727000000000004</v>
      </c>
      <c r="E89" s="29"/>
      <c r="F89" s="26" t="s">
        <v>232</v>
      </c>
    </row>
    <row r="90" spans="1:6" s="1" customFormat="1" ht="15">
      <c r="A90" s="39"/>
      <c r="B90" s="336" t="s">
        <v>267</v>
      </c>
      <c r="C90" s="329" t="s">
        <v>41</v>
      </c>
      <c r="D90" s="334">
        <f>(18.83*2.7)-((0.9*2.1)+(2*1.6*1.7))</f>
        <v>43.511000000000003</v>
      </c>
      <c r="E90" s="29"/>
      <c r="F90" s="26" t="s">
        <v>232</v>
      </c>
    </row>
    <row r="91" spans="1:6" s="1" customFormat="1" ht="15">
      <c r="A91" s="39"/>
      <c r="B91" s="336" t="s">
        <v>268</v>
      </c>
      <c r="C91" s="329" t="s">
        <v>41</v>
      </c>
      <c r="D91" s="334">
        <f>(18.69*2.7)-((0.9*2.1)+(2*1.6*1.7))</f>
        <v>43.13300000000001</v>
      </c>
      <c r="E91" s="29"/>
      <c r="F91" s="26" t="s">
        <v>232</v>
      </c>
    </row>
    <row r="92" spans="1:6" s="1" customFormat="1" ht="15">
      <c r="A92" s="39"/>
      <c r="B92" s="63" t="s">
        <v>269</v>
      </c>
      <c r="C92" s="329" t="s">
        <v>41</v>
      </c>
      <c r="D92" s="334">
        <f>(44.02*2.7)-((7*0.9*2.1))</f>
        <v>105.62400000000001</v>
      </c>
      <c r="E92" s="29"/>
      <c r="F92" s="332"/>
    </row>
    <row r="93" spans="1:6" s="1" customFormat="1" ht="15">
      <c r="A93" s="39"/>
      <c r="B93" s="336" t="s">
        <v>270</v>
      </c>
      <c r="C93" s="329" t="s">
        <v>41</v>
      </c>
      <c r="D93" s="334">
        <f>(38.51*2.7)-((5*0.9*2.1))</f>
        <v>94.527000000000001</v>
      </c>
      <c r="E93" s="29"/>
      <c r="F93" s="332"/>
    </row>
    <row r="94" spans="1:6" s="1" customFormat="1" ht="15">
      <c r="A94" s="39"/>
      <c r="B94" s="336" t="s">
        <v>271</v>
      </c>
      <c r="C94" s="329" t="s">
        <v>41</v>
      </c>
      <c r="D94" s="334">
        <f>(39.19*2.7)-((5*0.9*2.1))</f>
        <v>96.363</v>
      </c>
      <c r="E94" s="29"/>
      <c r="F94" s="332"/>
    </row>
    <row r="95" spans="1:6" s="1" customFormat="1" ht="15">
      <c r="A95" s="39"/>
      <c r="B95" s="63" t="s">
        <v>272</v>
      </c>
      <c r="C95" s="329" t="s">
        <v>41</v>
      </c>
      <c r="D95" s="334">
        <f>(36.48*2.7)-((9*0.9*2.1)+(1.56*2.1))</f>
        <v>78.209999999999994</v>
      </c>
      <c r="E95" s="29"/>
      <c r="F95" s="332"/>
    </row>
    <row r="96" spans="1:6" s="1" customFormat="1" ht="15">
      <c r="A96" s="39"/>
      <c r="B96" s="63" t="s">
        <v>273</v>
      </c>
      <c r="C96" s="329" t="s">
        <v>41</v>
      </c>
      <c r="D96" s="334">
        <f>(30.14*2.7)-((6*0.9*2.1)+(2*1.56*2.1))</f>
        <v>63.485999999999997</v>
      </c>
      <c r="E96" s="29"/>
      <c r="F96" s="332"/>
    </row>
    <row r="97" spans="1:6" s="1" customFormat="1" ht="15.75" thickBot="1">
      <c r="A97" s="163"/>
      <c r="B97" s="337" t="s">
        <v>274</v>
      </c>
      <c r="C97" s="338" t="s">
        <v>41</v>
      </c>
      <c r="D97" s="339">
        <f>(16.06*2.7)-((1.4*2.1))</f>
        <v>40.422000000000004</v>
      </c>
      <c r="E97" s="78"/>
      <c r="F97" s="340"/>
    </row>
    <row r="98" spans="1:6" s="1" customFormat="1" ht="15.75" thickTop="1">
      <c r="A98" s="167"/>
      <c r="B98" s="341" t="s">
        <v>275</v>
      </c>
      <c r="C98" s="342" t="s">
        <v>41</v>
      </c>
      <c r="D98" s="343">
        <f>(11.92*2.7)-((0.9*2.1))</f>
        <v>30.294000000000004</v>
      </c>
      <c r="E98" s="12"/>
      <c r="F98" s="344"/>
    </row>
    <row r="99" spans="1:6" s="1" customFormat="1" ht="15">
      <c r="A99" s="39"/>
      <c r="B99" s="336" t="s">
        <v>276</v>
      </c>
      <c r="C99" s="329" t="s">
        <v>41</v>
      </c>
      <c r="D99" s="334">
        <f>(18.98*2.7)-((1.5*1.7)+(1*2.1))</f>
        <v>46.596000000000004</v>
      </c>
      <c r="E99" s="29"/>
      <c r="F99" s="26" t="s">
        <v>232</v>
      </c>
    </row>
    <row r="100" spans="1:6" s="1" customFormat="1" ht="15">
      <c r="A100" s="39"/>
      <c r="B100" s="336" t="s">
        <v>277</v>
      </c>
      <c r="C100" s="329" t="s">
        <v>41</v>
      </c>
      <c r="D100" s="334">
        <f>(19.25*2.7)-((2*1.5*1.7)+(1.18*2.1))</f>
        <v>44.397000000000006</v>
      </c>
      <c r="E100" s="29"/>
      <c r="F100" s="26" t="s">
        <v>232</v>
      </c>
    </row>
    <row r="101" spans="1:6" s="1" customFormat="1" ht="15">
      <c r="A101" s="39"/>
      <c r="B101" s="336" t="s">
        <v>278</v>
      </c>
      <c r="C101" s="329" t="s">
        <v>41</v>
      </c>
      <c r="D101" s="334">
        <f>(18.86*2.7)-((1.5*1.7)+(1.18*2.1))</f>
        <v>45.894000000000005</v>
      </c>
      <c r="E101" s="29"/>
      <c r="F101" s="26" t="s">
        <v>232</v>
      </c>
    </row>
    <row r="102" spans="1:6" s="1" customFormat="1" ht="15">
      <c r="A102" s="39"/>
      <c r="B102" s="336" t="s">
        <v>279</v>
      </c>
      <c r="C102" s="329" t="s">
        <v>41</v>
      </c>
      <c r="D102" s="334">
        <f>(33.19*2.7)-((3*0.9*2.1)+(2*0.9*2.1)+(2*1*2.1))</f>
        <v>75.962999999999994</v>
      </c>
      <c r="E102" s="29"/>
      <c r="F102" s="332"/>
    </row>
    <row r="103" spans="1:6" s="1" customFormat="1" ht="15">
      <c r="A103" s="39"/>
      <c r="B103" s="336" t="s">
        <v>280</v>
      </c>
      <c r="C103" s="329" t="s">
        <v>41</v>
      </c>
      <c r="D103" s="334">
        <f>(18.31*2.7)-((0.9*2.1))</f>
        <v>47.546999999999997</v>
      </c>
      <c r="E103" s="29"/>
      <c r="F103" s="332"/>
    </row>
    <row r="104" spans="1:6" s="1" customFormat="1" ht="15">
      <c r="A104" s="328"/>
      <c r="B104" s="56" t="s">
        <v>227</v>
      </c>
      <c r="C104" s="329"/>
      <c r="D104" s="334"/>
      <c r="E104" s="139"/>
      <c r="F104" s="332"/>
    </row>
    <row r="105" spans="1:6" s="1" customFormat="1" ht="15">
      <c r="A105" s="39"/>
      <c r="B105" s="63" t="s">
        <v>281</v>
      </c>
      <c r="C105" s="329" t="s">
        <v>41</v>
      </c>
      <c r="D105" s="334">
        <f>(29.46*2.7)-((5*1*2.1)+(0.9*2.1)+(1.6*2.1)+(1.4*2.1)+(1.5*1.7))</f>
        <v>58.302</v>
      </c>
      <c r="E105" s="29"/>
      <c r="F105" s="332"/>
    </row>
    <row r="106" spans="1:6" s="1" customFormat="1" ht="15">
      <c r="A106" s="39"/>
      <c r="B106" s="336" t="s">
        <v>282</v>
      </c>
      <c r="C106" s="329" t="s">
        <v>41</v>
      </c>
      <c r="D106" s="334">
        <f>(16.05*2.7)-((1*2.1)+(1.6*1.7)+(1.6*2.7))</f>
        <v>34.195000000000007</v>
      </c>
      <c r="E106" s="29"/>
      <c r="F106" s="26" t="s">
        <v>232</v>
      </c>
    </row>
    <row r="107" spans="1:6" s="1" customFormat="1" ht="15">
      <c r="A107" s="39"/>
      <c r="B107" s="336" t="s">
        <v>283</v>
      </c>
      <c r="C107" s="329" t="s">
        <v>41</v>
      </c>
      <c r="D107" s="334">
        <f>(51.78*2.7)-((6*0.9*2.1)+(1*2.1))</f>
        <v>126.36600000000001</v>
      </c>
      <c r="E107" s="29"/>
      <c r="F107" s="332"/>
    </row>
    <row r="108" spans="1:6" s="1" customFormat="1" ht="15">
      <c r="A108" s="39"/>
      <c r="B108" s="336" t="s">
        <v>284</v>
      </c>
      <c r="C108" s="329" t="s">
        <v>41</v>
      </c>
      <c r="D108" s="334">
        <f>(18.91*2.7)-((1*2.1)+(1.6*1.7)+(1.6*2.7))</f>
        <v>41.917000000000002</v>
      </c>
      <c r="E108" s="29"/>
      <c r="F108" s="26" t="s">
        <v>232</v>
      </c>
    </row>
    <row r="109" spans="1:6" s="1" customFormat="1" ht="15">
      <c r="A109" s="39"/>
      <c r="B109" s="336" t="s">
        <v>285</v>
      </c>
      <c r="C109" s="329" t="s">
        <v>41</v>
      </c>
      <c r="D109" s="334">
        <f>(18.59*2.7)-((1*2.1)+(1.6*1.7)+(1.6*2.7))</f>
        <v>41.053000000000004</v>
      </c>
      <c r="E109" s="29"/>
      <c r="F109" s="26" t="s">
        <v>232</v>
      </c>
    </row>
    <row r="110" spans="1:6" s="1" customFormat="1" ht="15">
      <c r="A110" s="39"/>
      <c r="B110" s="336" t="s">
        <v>286</v>
      </c>
      <c r="C110" s="329" t="s">
        <v>41</v>
      </c>
      <c r="D110" s="334">
        <f>(18.72*2.7)-((1*2.1)+(1.6*2.1)+(1.6*2.7))</f>
        <v>40.763999999999996</v>
      </c>
      <c r="E110" s="29"/>
      <c r="F110" s="26" t="s">
        <v>232</v>
      </c>
    </row>
    <row r="111" spans="1:6" s="1" customFormat="1" ht="15">
      <c r="A111" s="39"/>
      <c r="B111" s="336" t="s">
        <v>287</v>
      </c>
      <c r="C111" s="329" t="s">
        <v>41</v>
      </c>
      <c r="D111" s="334">
        <f>(18.68*2.7)-((1*2.1)+(1.6*1.7)+(1.6*2.7))</f>
        <v>41.295999999999999</v>
      </c>
      <c r="E111" s="29"/>
      <c r="F111" s="26" t="s">
        <v>232</v>
      </c>
    </row>
    <row r="112" spans="1:6" s="1" customFormat="1" ht="15">
      <c r="A112" s="39"/>
      <c r="B112" s="336" t="s">
        <v>288</v>
      </c>
      <c r="C112" s="329" t="s">
        <v>41</v>
      </c>
      <c r="D112" s="334">
        <f>(18.68*2.7)-((1*2.1)+(1.6*1.7)+(1.6*2.7))</f>
        <v>41.295999999999999</v>
      </c>
      <c r="E112" s="29"/>
      <c r="F112" s="26" t="s">
        <v>232</v>
      </c>
    </row>
    <row r="113" spans="1:6" s="1" customFormat="1" ht="15">
      <c r="A113" s="39"/>
      <c r="B113" s="336" t="s">
        <v>289</v>
      </c>
      <c r="C113" s="329" t="s">
        <v>41</v>
      </c>
      <c r="D113" s="334">
        <f>(18.4*2.7)-((1*2.1)+(1.6*1.7)+(1.6*2.7))</f>
        <v>40.54</v>
      </c>
      <c r="E113" s="29"/>
      <c r="F113" s="26" t="s">
        <v>232</v>
      </c>
    </row>
    <row r="114" spans="1:6" s="1" customFormat="1" ht="15">
      <c r="A114" s="39"/>
      <c r="B114" s="336" t="s">
        <v>290</v>
      </c>
      <c r="C114" s="329" t="s">
        <v>41</v>
      </c>
      <c r="D114" s="334">
        <f>(33.58*2.7)-((2*1*2.1)+(2*1.6*2.1)+(4*1.6*1.7))</f>
        <v>68.865999999999985</v>
      </c>
      <c r="E114" s="29"/>
      <c r="F114" s="332"/>
    </row>
    <row r="115" spans="1:6" s="1" customFormat="1" ht="15">
      <c r="A115" s="39"/>
      <c r="B115" s="336" t="s">
        <v>291</v>
      </c>
      <c r="C115" s="329" t="s">
        <v>41</v>
      </c>
      <c r="D115" s="334">
        <f>(21.56*2.7)-((1*2.1)+(1.6*2.7)+(2*1.6*1.7))</f>
        <v>46.352000000000004</v>
      </c>
      <c r="E115" s="29"/>
      <c r="F115" s="26" t="s">
        <v>232</v>
      </c>
    </row>
    <row r="116" spans="1:6" s="1" customFormat="1" ht="15">
      <c r="A116" s="39"/>
      <c r="B116" s="336" t="s">
        <v>292</v>
      </c>
      <c r="C116" s="329" t="s">
        <v>41</v>
      </c>
      <c r="D116" s="334">
        <f>(21.46*2.7)-((1*2.1)+(1.6*2.7)+(2*1.6*1.7))</f>
        <v>46.082000000000008</v>
      </c>
      <c r="E116" s="29"/>
      <c r="F116" s="26" t="s">
        <v>232</v>
      </c>
    </row>
    <row r="117" spans="1:6" s="1" customFormat="1" ht="15">
      <c r="A117" s="39"/>
      <c r="B117" s="336" t="s">
        <v>293</v>
      </c>
      <c r="C117" s="329" t="s">
        <v>41</v>
      </c>
      <c r="D117" s="334">
        <f>(18.43*2.7)-((1*2.1)+(1.6*1.7)+(1.6*2.7))</f>
        <v>40.621000000000002</v>
      </c>
      <c r="E117" s="29"/>
      <c r="F117" s="26" t="s">
        <v>232</v>
      </c>
    </row>
    <row r="118" spans="1:6" s="1" customFormat="1" ht="15">
      <c r="A118" s="39"/>
      <c r="B118" s="336" t="s">
        <v>294</v>
      </c>
      <c r="C118" s="329" t="s">
        <v>41</v>
      </c>
      <c r="D118" s="334">
        <f>(18.67*2.7)-((1*2.1)+(1.6*1.7)+(1.6*2.7))</f>
        <v>41.269000000000005</v>
      </c>
      <c r="E118" s="29"/>
      <c r="F118" s="26" t="s">
        <v>232</v>
      </c>
    </row>
    <row r="119" spans="1:6" s="1" customFormat="1" ht="15">
      <c r="A119" s="39"/>
      <c r="B119" s="336" t="s">
        <v>295</v>
      </c>
      <c r="C119" s="329" t="s">
        <v>41</v>
      </c>
      <c r="D119" s="334">
        <f>(18.7*2.7)-((1*2.1)+(1.6*1.7)+(1.6*2.7))</f>
        <v>41.35</v>
      </c>
      <c r="E119" s="29"/>
      <c r="F119" s="26" t="s">
        <v>232</v>
      </c>
    </row>
    <row r="120" spans="1:6" s="1" customFormat="1" ht="15">
      <c r="A120" s="39"/>
      <c r="B120" s="336" t="s">
        <v>296</v>
      </c>
      <c r="C120" s="329" t="s">
        <v>41</v>
      </c>
      <c r="D120" s="334">
        <f>(18.74*2.7)-((1*2.1)+(1.6*1.7)+(1.6*2.7))</f>
        <v>41.457999999999998</v>
      </c>
      <c r="E120" s="29"/>
      <c r="F120" s="26" t="s">
        <v>232</v>
      </c>
    </row>
    <row r="121" spans="1:6" s="1" customFormat="1" ht="15">
      <c r="A121" s="39"/>
      <c r="B121" s="336" t="s">
        <v>297</v>
      </c>
      <c r="C121" s="329" t="s">
        <v>41</v>
      </c>
      <c r="D121" s="334">
        <f>(21.58*2.7)-((1*2.1)+(2*1.6*1.7))</f>
        <v>50.725999999999999</v>
      </c>
      <c r="E121" s="29"/>
      <c r="F121" s="26" t="s">
        <v>232</v>
      </c>
    </row>
    <row r="122" spans="1:6" s="1" customFormat="1" ht="15">
      <c r="A122" s="39"/>
      <c r="B122" s="336" t="s">
        <v>298</v>
      </c>
      <c r="C122" s="329" t="s">
        <v>41</v>
      </c>
      <c r="D122" s="334">
        <f>(47.6*2.7)-((6*0.9*2.1)+(1*2.1))</f>
        <v>115.08000000000001</v>
      </c>
      <c r="E122" s="29"/>
      <c r="F122" s="332"/>
    </row>
    <row r="123" spans="1:6" s="1" customFormat="1" ht="15">
      <c r="A123" s="39"/>
      <c r="B123" s="336" t="s">
        <v>299</v>
      </c>
      <c r="C123" s="329" t="s">
        <v>41</v>
      </c>
      <c r="D123" s="334">
        <f>(42.06*2.7)-((6*0.9*2.1)+(1*2.1))</f>
        <v>100.12200000000001</v>
      </c>
      <c r="E123" s="29"/>
      <c r="F123" s="332"/>
    </row>
    <row r="124" spans="1:6" s="1" customFormat="1" ht="15">
      <c r="A124" s="39"/>
      <c r="B124" s="336" t="s">
        <v>245</v>
      </c>
      <c r="C124" s="329" t="s">
        <v>41</v>
      </c>
      <c r="D124" s="334">
        <f>(38.49*2.7)-((8*1*2.1)+(3*1.5*2.1))</f>
        <v>77.673000000000016</v>
      </c>
      <c r="E124" s="29"/>
      <c r="F124" s="332"/>
    </row>
    <row r="125" spans="1:6" s="1" customFormat="1" ht="15">
      <c r="A125" s="39"/>
      <c r="B125" s="336" t="s">
        <v>246</v>
      </c>
      <c r="C125" s="329" t="s">
        <v>41</v>
      </c>
      <c r="D125" s="334">
        <f>(30.23*2.7)-((6*1*2.1)+(2*1.5*2.1))</f>
        <v>62.721000000000004</v>
      </c>
      <c r="E125" s="29"/>
      <c r="F125" s="332"/>
    </row>
    <row r="126" spans="1:6" s="1" customFormat="1" ht="15">
      <c r="A126" s="39"/>
      <c r="B126" s="63" t="s">
        <v>300</v>
      </c>
      <c r="C126" s="329" t="s">
        <v>41</v>
      </c>
      <c r="D126" s="334">
        <f>(15.87*2.7)-((1.4*2.1))</f>
        <v>39.909000000000006</v>
      </c>
      <c r="E126" s="29"/>
      <c r="F126" s="332"/>
    </row>
    <row r="127" spans="1:6" s="1" customFormat="1" ht="15">
      <c r="A127" s="328"/>
      <c r="B127" s="56" t="s">
        <v>228</v>
      </c>
      <c r="C127" s="329"/>
      <c r="D127" s="334"/>
      <c r="E127" s="139"/>
      <c r="F127" s="332"/>
    </row>
    <row r="128" spans="1:6" s="1" customFormat="1" ht="15">
      <c r="A128" s="39"/>
      <c r="B128" s="63" t="s">
        <v>301</v>
      </c>
      <c r="C128" s="329" t="s">
        <v>41</v>
      </c>
      <c r="D128" s="334">
        <f>(36.3*2.7)-((5*1*2.1)+(1.4*2.1)+(1.6*2.1)+(1.6*1.7))</f>
        <v>78.490000000000009</v>
      </c>
      <c r="E128" s="29"/>
      <c r="F128" s="332"/>
    </row>
    <row r="129" spans="1:6" s="1" customFormat="1" ht="15">
      <c r="A129" s="39"/>
      <c r="B129" s="336" t="s">
        <v>302</v>
      </c>
      <c r="C129" s="329" t="s">
        <v>41</v>
      </c>
      <c r="D129" s="334">
        <f>(16.1*2.7)-((1*2.1)+(1.5*2.1)+(1.6*1.7))</f>
        <v>35.500000000000007</v>
      </c>
      <c r="E129" s="29"/>
      <c r="F129" s="26" t="s">
        <v>232</v>
      </c>
    </row>
    <row r="130" spans="1:6" s="1" customFormat="1" ht="15">
      <c r="A130" s="39"/>
      <c r="B130" s="336" t="s">
        <v>303</v>
      </c>
      <c r="C130" s="329" t="s">
        <v>41</v>
      </c>
      <c r="D130" s="334">
        <f>(18.93*2.7)-((1*2.1)+(1.6*1.7)+(1.6*2.7))</f>
        <v>41.971000000000004</v>
      </c>
      <c r="E130" s="29"/>
      <c r="F130" s="26" t="s">
        <v>232</v>
      </c>
    </row>
    <row r="131" spans="1:6" s="1" customFormat="1" ht="15">
      <c r="A131" s="39"/>
      <c r="B131" s="336" t="s">
        <v>304</v>
      </c>
      <c r="C131" s="329" t="s">
        <v>41</v>
      </c>
      <c r="D131" s="334">
        <f>(18.53*2.7)-((0.9*2.1)+(1.6*2.1)+(1.6*2.7))</f>
        <v>40.461000000000006</v>
      </c>
      <c r="E131" s="29"/>
      <c r="F131" s="26" t="s">
        <v>232</v>
      </c>
    </row>
    <row r="132" spans="1:6" s="1" customFormat="1" ht="15">
      <c r="A132" s="39"/>
      <c r="B132" s="336" t="s">
        <v>305</v>
      </c>
      <c r="C132" s="329" t="s">
        <v>41</v>
      </c>
      <c r="D132" s="334">
        <f>(18.69*2.7)-((1*2.1)+(1.6*1.7)+(1.6*2.7))</f>
        <v>41.323000000000008</v>
      </c>
      <c r="E132" s="29"/>
      <c r="F132" s="26" t="s">
        <v>232</v>
      </c>
    </row>
    <row r="133" spans="1:6" s="1" customFormat="1" ht="15">
      <c r="A133" s="39"/>
      <c r="B133" s="336" t="s">
        <v>306</v>
      </c>
      <c r="C133" s="329" t="s">
        <v>41</v>
      </c>
      <c r="D133" s="334">
        <f>(18.83*2.7)-((1*2.1)+(1.6*1.7)+(1.6*2.7))</f>
        <v>41.701000000000001</v>
      </c>
      <c r="E133" s="29"/>
      <c r="F133" s="26" t="s">
        <v>232</v>
      </c>
    </row>
    <row r="134" spans="1:6" s="1" customFormat="1" ht="15">
      <c r="A134" s="39"/>
      <c r="B134" s="336" t="s">
        <v>307</v>
      </c>
      <c r="C134" s="329" t="s">
        <v>41</v>
      </c>
      <c r="D134" s="334">
        <f>(18.91*2.7)-((1*2.1)+(1.6*1.7)+(1.6*2.7))</f>
        <v>41.917000000000002</v>
      </c>
      <c r="E134" s="29"/>
      <c r="F134" s="26" t="s">
        <v>232</v>
      </c>
    </row>
    <row r="135" spans="1:6" s="1" customFormat="1" ht="15">
      <c r="A135" s="39"/>
      <c r="B135" s="336" t="s">
        <v>308</v>
      </c>
      <c r="C135" s="329" t="s">
        <v>41</v>
      </c>
      <c r="D135" s="334">
        <f>(18.59*2.7)-((1*2.1)+(1.6*1.7)+(1.6*2.7))</f>
        <v>41.053000000000004</v>
      </c>
      <c r="E135" s="29"/>
      <c r="F135" s="26" t="s">
        <v>232</v>
      </c>
    </row>
    <row r="136" spans="1:6" s="1" customFormat="1" ht="15">
      <c r="A136" s="39"/>
      <c r="B136" s="336" t="s">
        <v>309</v>
      </c>
      <c r="C136" s="329" t="s">
        <v>41</v>
      </c>
      <c r="D136" s="334">
        <f>(33.4*2.7)-((2*1*2.1)+(2*1.6*2.7)+(4*1.6*1.7))</f>
        <v>66.460000000000008</v>
      </c>
      <c r="E136" s="29"/>
      <c r="F136" s="332"/>
    </row>
    <row r="137" spans="1:6" s="1" customFormat="1" ht="15">
      <c r="A137" s="39"/>
      <c r="B137" s="336" t="s">
        <v>310</v>
      </c>
      <c r="C137" s="329" t="s">
        <v>41</v>
      </c>
      <c r="D137" s="334">
        <f>(21.69*2.7)-((1*2.1)+(1.6*2.1)+(2*1.6*1.7))</f>
        <v>47.663000000000011</v>
      </c>
      <c r="E137" s="29"/>
      <c r="F137" s="26" t="s">
        <v>232</v>
      </c>
    </row>
    <row r="138" spans="1:6" s="1" customFormat="1" ht="15">
      <c r="A138" s="39"/>
      <c r="B138" s="336" t="s">
        <v>311</v>
      </c>
      <c r="C138" s="329" t="s">
        <v>41</v>
      </c>
      <c r="D138" s="334">
        <f>(21.61*2.7)-((1*2.1)+(1.6*2.7)+(2*1.6*1.7))</f>
        <v>46.487000000000002</v>
      </c>
      <c r="E138" s="29"/>
      <c r="F138" s="26" t="s">
        <v>232</v>
      </c>
    </row>
    <row r="139" spans="1:6" s="1" customFormat="1" ht="15">
      <c r="A139" s="39"/>
      <c r="B139" s="336" t="s">
        <v>312</v>
      </c>
      <c r="C139" s="329" t="s">
        <v>41</v>
      </c>
      <c r="D139" s="334">
        <f>(18.59*2.7)-((1*2.1)+(1.6*2.7)+(1.5*1.7))</f>
        <v>41.223000000000006</v>
      </c>
      <c r="E139" s="29"/>
      <c r="F139" s="26" t="s">
        <v>232</v>
      </c>
    </row>
    <row r="140" spans="1:6" s="1" customFormat="1" ht="15">
      <c r="A140" s="39"/>
      <c r="B140" s="336" t="s">
        <v>313</v>
      </c>
      <c r="C140" s="329" t="s">
        <v>41</v>
      </c>
      <c r="D140" s="334">
        <f>(18.91*2.7)-((1*2.1)+(1.6*2.7)+(1.5*1.7))</f>
        <v>42.087000000000003</v>
      </c>
      <c r="E140" s="29"/>
      <c r="F140" s="26" t="s">
        <v>232</v>
      </c>
    </row>
    <row r="141" spans="1:6" s="1" customFormat="1" ht="15">
      <c r="A141" s="39"/>
      <c r="B141" s="336" t="s">
        <v>314</v>
      </c>
      <c r="C141" s="329" t="s">
        <v>41</v>
      </c>
      <c r="D141" s="334">
        <f>(18.83*2.7)-((1*2.1)+(1.6*2.7)+(1.5*1.7))</f>
        <v>41.871000000000002</v>
      </c>
      <c r="E141" s="29"/>
      <c r="F141" s="26" t="s">
        <v>232</v>
      </c>
    </row>
    <row r="142" spans="1:6" s="1" customFormat="1" ht="15">
      <c r="A142" s="39"/>
      <c r="B142" s="336" t="s">
        <v>315</v>
      </c>
      <c r="C142" s="329" t="s">
        <v>41</v>
      </c>
      <c r="D142" s="334">
        <f>(18.69*2.7)-((1*2.1)+(1.6*2.7)+(1.5*1.7))</f>
        <v>41.493000000000009</v>
      </c>
      <c r="E142" s="29"/>
      <c r="F142" s="26" t="s">
        <v>232</v>
      </c>
    </row>
    <row r="143" spans="1:6" s="1" customFormat="1" ht="15.75" thickBot="1">
      <c r="A143" s="163"/>
      <c r="B143" s="337" t="s">
        <v>316</v>
      </c>
      <c r="C143" s="338" t="s">
        <v>41</v>
      </c>
      <c r="D143" s="339">
        <f>(21.6*2.7)-((1*2.1)+(2*1.6*1.7))</f>
        <v>50.780000000000008</v>
      </c>
      <c r="E143" s="78"/>
      <c r="F143" s="412" t="s">
        <v>232</v>
      </c>
    </row>
    <row r="144" spans="1:6" s="1" customFormat="1" ht="15.75" thickTop="1">
      <c r="A144" s="167"/>
      <c r="B144" s="341" t="s">
        <v>317</v>
      </c>
      <c r="C144" s="342" t="s">
        <v>41</v>
      </c>
      <c r="D144" s="343">
        <f>(43.3*2.7)-((5*0.9*2.1)+(1*2.1))</f>
        <v>105.36</v>
      </c>
      <c r="E144" s="12"/>
      <c r="F144" s="344"/>
    </row>
    <row r="145" spans="1:6" s="1" customFormat="1" ht="15">
      <c r="A145" s="39"/>
      <c r="B145" s="336" t="s">
        <v>318</v>
      </c>
      <c r="C145" s="329" t="s">
        <v>41</v>
      </c>
      <c r="D145" s="334">
        <f>(43.82*2.7)-((5*0.9*2.1)+(1*2.1))</f>
        <v>106.76400000000001</v>
      </c>
      <c r="E145" s="29"/>
      <c r="F145" s="332"/>
    </row>
    <row r="146" spans="1:6" s="1" customFormat="1" ht="15">
      <c r="A146" s="39"/>
      <c r="B146" s="336" t="s">
        <v>319</v>
      </c>
      <c r="C146" s="329" t="s">
        <v>41</v>
      </c>
      <c r="D146" s="334">
        <f>(37.18*2.7)-((8*1*2.1)+(2*1.6*2.1))</f>
        <v>76.866000000000014</v>
      </c>
      <c r="E146" s="29"/>
      <c r="F146" s="332"/>
    </row>
    <row r="147" spans="1:6" s="1" customFormat="1" ht="15">
      <c r="A147" s="39"/>
      <c r="B147" s="336" t="s">
        <v>320</v>
      </c>
      <c r="C147" s="329" t="s">
        <v>41</v>
      </c>
      <c r="D147" s="334">
        <f>(30.6*2.7)-((6*1*2.1)+(1.48*2.1)+(1.6*2.1))</f>
        <v>63.552000000000007</v>
      </c>
      <c r="E147" s="29"/>
      <c r="F147" s="332"/>
    </row>
    <row r="148" spans="1:6" s="1" customFormat="1" ht="15">
      <c r="A148" s="39"/>
      <c r="B148" s="336" t="s">
        <v>321</v>
      </c>
      <c r="C148" s="329" t="s">
        <v>41</v>
      </c>
      <c r="D148" s="334">
        <f>(54.13*2.7)-((6*0.9*2.1)+(1*2.1)+(0.8*2.1))</f>
        <v>131.03100000000001</v>
      </c>
      <c r="E148" s="29"/>
      <c r="F148" s="332"/>
    </row>
    <row r="149" spans="1:6" s="1" customFormat="1" ht="15">
      <c r="A149" s="39"/>
      <c r="B149" s="336" t="s">
        <v>176</v>
      </c>
      <c r="C149" s="329" t="s">
        <v>41</v>
      </c>
      <c r="D149" s="334">
        <f>(5.95*2.7)-(0.9*2.1)</f>
        <v>14.175000000000001</v>
      </c>
      <c r="E149" s="29"/>
      <c r="F149" s="332"/>
    </row>
    <row r="150" spans="1:6" s="1" customFormat="1" ht="15">
      <c r="A150" s="39"/>
      <c r="B150" s="336" t="s">
        <v>322</v>
      </c>
      <c r="C150" s="329" t="s">
        <v>41</v>
      </c>
      <c r="D150" s="334">
        <f>(3.57*2.7)-((0.8*2.1))</f>
        <v>7.9589999999999996</v>
      </c>
      <c r="E150" s="29"/>
      <c r="F150" s="332"/>
    </row>
    <row r="151" spans="1:6" s="1" customFormat="1" ht="15">
      <c r="A151" s="39"/>
      <c r="B151" s="63" t="s">
        <v>323</v>
      </c>
      <c r="C151" s="329" t="s">
        <v>41</v>
      </c>
      <c r="D151" s="334">
        <f>(16.06*2.7)-((1.4*2.7))</f>
        <v>39.582000000000001</v>
      </c>
      <c r="E151" s="29"/>
      <c r="F151" s="332"/>
    </row>
    <row r="152" spans="1:6" ht="12.75" thickBot="1">
      <c r="A152" s="39"/>
      <c r="B152" s="66"/>
      <c r="C152" s="310"/>
      <c r="D152" s="25"/>
      <c r="E152" s="311"/>
      <c r="F152" s="30"/>
    </row>
    <row r="153" spans="1:6" s="89" customFormat="1" ht="27" customHeight="1" thickTop="1" thickBot="1">
      <c r="A153" s="22"/>
      <c r="B153" s="345"/>
      <c r="C153" s="474" t="str">
        <f>B49</f>
        <v>PLATRERIE</v>
      </c>
      <c r="D153" s="475"/>
      <c r="E153" s="476"/>
      <c r="F153" s="51"/>
    </row>
    <row r="154" spans="1:6" s="274" customFormat="1" ht="15" customHeight="1" thickTop="1">
      <c r="A154" s="22"/>
      <c r="B154" s="66"/>
      <c r="C154" s="10"/>
      <c r="D154" s="346"/>
      <c r="E154" s="347"/>
      <c r="F154" s="309"/>
    </row>
    <row r="155" spans="1:6" s="1" customFormat="1" ht="15">
      <c r="A155" s="348">
        <f>A49+0.1</f>
        <v>10.399999999999999</v>
      </c>
      <c r="B155" s="58" t="s">
        <v>53</v>
      </c>
      <c r="C155" s="17"/>
      <c r="D155" s="18"/>
      <c r="E155" s="349"/>
      <c r="F155" s="60"/>
    </row>
    <row r="156" spans="1:6" s="1" customFormat="1" ht="15">
      <c r="A156" s="22"/>
      <c r="B156" s="61" t="s">
        <v>54</v>
      </c>
      <c r="C156" s="44"/>
      <c r="D156" s="32"/>
      <c r="E156" s="57"/>
      <c r="F156" s="30"/>
    </row>
    <row r="157" spans="1:6" s="1" customFormat="1" ht="15">
      <c r="A157" s="72"/>
      <c r="B157" s="56" t="s">
        <v>226</v>
      </c>
      <c r="C157" s="24"/>
      <c r="D157" s="313"/>
      <c r="E157" s="57"/>
      <c r="F157" s="30"/>
    </row>
    <row r="158" spans="1:6" s="1" customFormat="1" ht="15">
      <c r="A158" s="39"/>
      <c r="B158" s="63" t="s">
        <v>253</v>
      </c>
      <c r="C158" s="24" t="s">
        <v>41</v>
      </c>
      <c r="D158" s="32">
        <v>7.65</v>
      </c>
      <c r="E158" s="29"/>
      <c r="F158" s="30"/>
    </row>
    <row r="159" spans="1:6" s="1" customFormat="1" ht="15">
      <c r="A159" s="72"/>
      <c r="B159" s="56" t="s">
        <v>228</v>
      </c>
      <c r="C159" s="24"/>
      <c r="D159" s="313"/>
      <c r="E159" s="57"/>
      <c r="F159" s="30"/>
    </row>
    <row r="160" spans="1:6" s="274" customFormat="1">
      <c r="A160" s="39"/>
      <c r="B160" s="63" t="s">
        <v>176</v>
      </c>
      <c r="C160" s="24" t="s">
        <v>41</v>
      </c>
      <c r="D160" s="32">
        <v>2</v>
      </c>
      <c r="E160" s="29"/>
      <c r="F160" s="30"/>
    </row>
    <row r="161" spans="1:6" s="274" customFormat="1">
      <c r="A161" s="39"/>
      <c r="B161" s="63" t="s">
        <v>324</v>
      </c>
      <c r="C161" s="24" t="s">
        <v>41</v>
      </c>
      <c r="D161" s="32">
        <v>0.8</v>
      </c>
      <c r="E161" s="29"/>
      <c r="F161" s="30"/>
    </row>
    <row r="162" spans="1:6" s="1" customFormat="1" ht="15">
      <c r="A162" s="72"/>
      <c r="B162" s="66"/>
      <c r="C162" s="24"/>
      <c r="D162" s="32"/>
      <c r="E162" s="139"/>
      <c r="F162" s="30"/>
    </row>
    <row r="163" spans="1:6" s="1" customFormat="1" ht="15">
      <c r="A163" s="301"/>
      <c r="B163" s="61" t="s">
        <v>58</v>
      </c>
      <c r="C163" s="24"/>
      <c r="D163" s="32"/>
      <c r="E163" s="139"/>
      <c r="F163" s="26"/>
    </row>
    <row r="164" spans="1:6" s="1" customFormat="1" ht="15">
      <c r="A164" s="39"/>
      <c r="B164" s="56" t="s">
        <v>225</v>
      </c>
      <c r="C164" s="24"/>
      <c r="D164" s="313"/>
      <c r="E164" s="139"/>
      <c r="F164" s="30"/>
    </row>
    <row r="165" spans="1:6" s="1" customFormat="1" ht="15">
      <c r="A165" s="39"/>
      <c r="B165" s="63" t="s">
        <v>325</v>
      </c>
      <c r="C165" s="24" t="s">
        <v>41</v>
      </c>
      <c r="D165" s="32">
        <v>57.2</v>
      </c>
      <c r="E165" s="29"/>
      <c r="F165" s="30"/>
    </row>
    <row r="166" spans="1:6" s="1" customFormat="1" ht="15">
      <c r="A166" s="39"/>
      <c r="B166" s="63" t="s">
        <v>236</v>
      </c>
      <c r="C166" s="24" t="s">
        <v>41</v>
      </c>
      <c r="D166" s="32">
        <v>60.5</v>
      </c>
      <c r="E166" s="29"/>
      <c r="F166" s="30"/>
    </row>
    <row r="167" spans="1:6" s="1" customFormat="1" ht="24">
      <c r="A167" s="39"/>
      <c r="B167" s="23" t="s">
        <v>326</v>
      </c>
      <c r="C167" s="24" t="s">
        <v>41</v>
      </c>
      <c r="D167" s="32">
        <v>4.1399999999999997</v>
      </c>
      <c r="E167" s="29"/>
      <c r="F167" s="30"/>
    </row>
    <row r="168" spans="1:6" s="1" customFormat="1" ht="24">
      <c r="A168" s="39"/>
      <c r="B168" s="23" t="s">
        <v>327</v>
      </c>
      <c r="C168" s="24" t="s">
        <v>41</v>
      </c>
      <c r="D168" s="32">
        <v>4.1399999999999997</v>
      </c>
      <c r="E168" s="29"/>
      <c r="F168" s="30"/>
    </row>
    <row r="169" spans="1:6" s="1" customFormat="1" ht="24">
      <c r="A169" s="39"/>
      <c r="B169" s="23" t="s">
        <v>328</v>
      </c>
      <c r="C169" s="24" t="s">
        <v>41</v>
      </c>
      <c r="D169" s="32">
        <v>4.1399999999999997</v>
      </c>
      <c r="E169" s="29"/>
      <c r="F169" s="30"/>
    </row>
    <row r="170" spans="1:6" s="1" customFormat="1" ht="24">
      <c r="A170" s="39"/>
      <c r="B170" s="23" t="s">
        <v>329</v>
      </c>
      <c r="C170" s="24" t="s">
        <v>41</v>
      </c>
      <c r="D170" s="32">
        <v>4.1399999999999997</v>
      </c>
      <c r="E170" s="29"/>
      <c r="F170" s="30"/>
    </row>
    <row r="171" spans="1:6" s="1" customFormat="1" ht="24">
      <c r="A171" s="39"/>
      <c r="B171" s="23" t="s">
        <v>330</v>
      </c>
      <c r="C171" s="24" t="s">
        <v>41</v>
      </c>
      <c r="D171" s="32">
        <f>5.16*1.2</f>
        <v>6.1920000000000002</v>
      </c>
      <c r="E171" s="29"/>
      <c r="F171" s="30"/>
    </row>
    <row r="172" spans="1:6" s="1" customFormat="1" ht="24">
      <c r="A172" s="39"/>
      <c r="B172" s="23" t="s">
        <v>331</v>
      </c>
      <c r="C172" s="24" t="s">
        <v>41</v>
      </c>
      <c r="D172" s="32">
        <f>5.16*1.2</f>
        <v>6.1920000000000002</v>
      </c>
      <c r="E172" s="29"/>
      <c r="F172" s="30"/>
    </row>
    <row r="173" spans="1:6" s="1" customFormat="1" ht="24">
      <c r="A173" s="39"/>
      <c r="B173" s="23" t="s">
        <v>332</v>
      </c>
      <c r="C173" s="24" t="s">
        <v>41</v>
      </c>
      <c r="D173" s="32">
        <v>4.1399999999999997</v>
      </c>
      <c r="E173" s="29"/>
      <c r="F173" s="30"/>
    </row>
    <row r="174" spans="1:6" s="1" customFormat="1" ht="24">
      <c r="A174" s="39"/>
      <c r="B174" s="23" t="s">
        <v>333</v>
      </c>
      <c r="C174" s="24" t="s">
        <v>41</v>
      </c>
      <c r="D174" s="32">
        <v>4.1399999999999997</v>
      </c>
      <c r="E174" s="29"/>
      <c r="F174" s="30"/>
    </row>
    <row r="175" spans="1:6" s="1" customFormat="1" ht="24">
      <c r="A175" s="39"/>
      <c r="B175" s="23" t="s">
        <v>334</v>
      </c>
      <c r="C175" s="24" t="s">
        <v>41</v>
      </c>
      <c r="D175" s="32">
        <v>4.1399999999999997</v>
      </c>
      <c r="E175" s="29"/>
      <c r="F175" s="30"/>
    </row>
    <row r="176" spans="1:6" s="1" customFormat="1" ht="15">
      <c r="A176" s="39"/>
      <c r="B176" s="56" t="s">
        <v>226</v>
      </c>
      <c r="C176" s="24"/>
      <c r="D176" s="32"/>
      <c r="E176" s="139"/>
      <c r="F176" s="30"/>
    </row>
    <row r="177" spans="1:6" s="1" customFormat="1" ht="15">
      <c r="A177" s="39"/>
      <c r="B177" s="63" t="s">
        <v>335</v>
      </c>
      <c r="C177" s="24" t="s">
        <v>41</v>
      </c>
      <c r="D177" s="32">
        <v>57.15</v>
      </c>
      <c r="E177" s="29"/>
      <c r="F177" s="30"/>
    </row>
    <row r="178" spans="1:6" s="1" customFormat="1" ht="15">
      <c r="A178" s="39"/>
      <c r="B178" s="63" t="s">
        <v>336</v>
      </c>
      <c r="C178" s="24" t="s">
        <v>41</v>
      </c>
      <c r="D178" s="32">
        <v>20.8</v>
      </c>
      <c r="E178" s="29"/>
      <c r="F178" s="30"/>
    </row>
    <row r="179" spans="1:6" s="1" customFormat="1" ht="15">
      <c r="A179" s="39"/>
      <c r="B179" s="63" t="s">
        <v>337</v>
      </c>
      <c r="C179" s="24" t="s">
        <v>41</v>
      </c>
      <c r="D179" s="32">
        <v>13.52</v>
      </c>
      <c r="E179" s="29"/>
      <c r="F179" s="30"/>
    </row>
    <row r="180" spans="1:6" s="1" customFormat="1" ht="15">
      <c r="A180" s="39"/>
      <c r="B180" s="63" t="s">
        <v>338</v>
      </c>
      <c r="C180" s="24" t="s">
        <v>41</v>
      </c>
      <c r="D180" s="32">
        <v>20.45</v>
      </c>
      <c r="E180" s="29"/>
      <c r="F180" s="30"/>
    </row>
    <row r="181" spans="1:6" s="1" customFormat="1" ht="15">
      <c r="A181" s="39"/>
      <c r="B181" s="63" t="s">
        <v>339</v>
      </c>
      <c r="C181" s="24" t="s">
        <v>41</v>
      </c>
      <c r="D181" s="32">
        <v>20.25</v>
      </c>
      <c r="E181" s="29"/>
      <c r="F181" s="30"/>
    </row>
    <row r="182" spans="1:6" s="1" customFormat="1" ht="15">
      <c r="A182" s="39"/>
      <c r="B182" s="148" t="s">
        <v>340</v>
      </c>
      <c r="C182" s="133" t="s">
        <v>41</v>
      </c>
      <c r="D182" s="134">
        <v>9.4499999999999993</v>
      </c>
      <c r="E182" s="147"/>
      <c r="F182" s="137"/>
    </row>
    <row r="183" spans="1:6" s="1" customFormat="1" ht="15">
      <c r="A183" s="39"/>
      <c r="B183" s="138" t="s">
        <v>227</v>
      </c>
      <c r="C183" s="133"/>
      <c r="D183" s="134"/>
      <c r="E183" s="139"/>
      <c r="F183" s="137"/>
    </row>
    <row r="184" spans="1:6" s="1" customFormat="1" ht="24.75" thickBot="1">
      <c r="A184" s="163"/>
      <c r="B184" s="186" t="s">
        <v>341</v>
      </c>
      <c r="C184" s="181" t="s">
        <v>41</v>
      </c>
      <c r="D184" s="149">
        <v>60.5</v>
      </c>
      <c r="E184" s="150"/>
      <c r="F184" s="182"/>
    </row>
    <row r="185" spans="1:6" s="1" customFormat="1" ht="15.75" thickTop="1">
      <c r="A185" s="90"/>
      <c r="B185" s="183"/>
      <c r="C185" s="121"/>
      <c r="D185" s="170"/>
      <c r="E185" s="472"/>
      <c r="F185" s="171"/>
    </row>
    <row r="186" spans="1:6" s="1" customFormat="1" ht="15">
      <c r="A186" s="8"/>
      <c r="B186" s="154" t="s">
        <v>132</v>
      </c>
      <c r="C186" s="121"/>
      <c r="D186" s="170"/>
      <c r="E186" s="139"/>
      <c r="F186" s="171"/>
    </row>
    <row r="187" spans="1:6" s="1" customFormat="1" ht="15">
      <c r="A187" s="328"/>
      <c r="B187" s="138" t="s">
        <v>225</v>
      </c>
      <c r="C187" s="351"/>
      <c r="D187" s="352"/>
      <c r="E187" s="139"/>
      <c r="F187" s="353"/>
    </row>
    <row r="188" spans="1:6" s="1" customFormat="1" ht="15">
      <c r="A188" s="39"/>
      <c r="B188" s="354" t="s">
        <v>342</v>
      </c>
      <c r="C188" s="351" t="s">
        <v>41</v>
      </c>
      <c r="D188" s="352">
        <v>7.7</v>
      </c>
      <c r="E188" s="147"/>
      <c r="F188" s="353"/>
    </row>
    <row r="189" spans="1:6" s="1" customFormat="1" ht="15">
      <c r="A189" s="39"/>
      <c r="B189" s="336" t="s">
        <v>343</v>
      </c>
      <c r="C189" s="355" t="s">
        <v>41</v>
      </c>
      <c r="D189" s="334">
        <v>23</v>
      </c>
      <c r="E189" s="29"/>
      <c r="F189" s="332"/>
    </row>
    <row r="190" spans="1:6" s="1" customFormat="1" ht="15">
      <c r="A190" s="39"/>
      <c r="B190" s="336" t="s">
        <v>344</v>
      </c>
      <c r="C190" s="355" t="s">
        <v>41</v>
      </c>
      <c r="D190" s="334">
        <v>22.7</v>
      </c>
      <c r="E190" s="29"/>
      <c r="F190" s="332"/>
    </row>
    <row r="191" spans="1:6" s="1" customFormat="1" ht="15">
      <c r="A191" s="39"/>
      <c r="B191" s="336" t="s">
        <v>345</v>
      </c>
      <c r="C191" s="355" t="s">
        <v>41</v>
      </c>
      <c r="D191" s="334">
        <v>19</v>
      </c>
      <c r="E191" s="29"/>
      <c r="F191" s="332"/>
    </row>
    <row r="192" spans="1:6" s="1" customFormat="1" ht="15">
      <c r="A192" s="39"/>
      <c r="B192" s="336" t="s">
        <v>346</v>
      </c>
      <c r="C192" s="355" t="s">
        <v>41</v>
      </c>
      <c r="D192" s="334">
        <v>8.77</v>
      </c>
      <c r="E192" s="29"/>
      <c r="F192" s="332"/>
    </row>
    <row r="193" spans="1:6" s="155" customFormat="1" ht="15">
      <c r="A193" s="39"/>
      <c r="B193" s="23" t="s">
        <v>347</v>
      </c>
      <c r="C193" s="24" t="s">
        <v>41</v>
      </c>
      <c r="D193" s="32">
        <v>29.55</v>
      </c>
      <c r="E193" s="29"/>
      <c r="F193" s="332"/>
    </row>
    <row r="194" spans="1:6" s="155" customFormat="1" ht="15">
      <c r="A194" s="39"/>
      <c r="B194" s="63" t="s">
        <v>348</v>
      </c>
      <c r="C194" s="24" t="s">
        <v>41</v>
      </c>
      <c r="D194" s="32">
        <v>21.9</v>
      </c>
      <c r="E194" s="29"/>
      <c r="F194" s="332"/>
    </row>
    <row r="195" spans="1:6" s="155" customFormat="1" ht="15">
      <c r="A195" s="39"/>
      <c r="B195" s="333" t="s">
        <v>349</v>
      </c>
      <c r="C195" s="24" t="s">
        <v>41</v>
      </c>
      <c r="D195" s="32">
        <v>46.2</v>
      </c>
      <c r="E195" s="29"/>
      <c r="F195" s="332"/>
    </row>
    <row r="196" spans="1:6" s="1" customFormat="1" ht="15">
      <c r="A196" s="328"/>
      <c r="B196" s="56" t="s">
        <v>226</v>
      </c>
      <c r="C196" s="355"/>
      <c r="D196" s="334"/>
      <c r="E196" s="139"/>
      <c r="F196" s="332"/>
    </row>
    <row r="197" spans="1:6" s="1" customFormat="1" ht="15">
      <c r="A197" s="39"/>
      <c r="B197" s="336" t="s">
        <v>350</v>
      </c>
      <c r="C197" s="355" t="s">
        <v>41</v>
      </c>
      <c r="D197" s="334">
        <v>7.1</v>
      </c>
      <c r="E197" s="29"/>
      <c r="F197" s="332"/>
    </row>
    <row r="198" spans="1:6" s="1" customFormat="1" ht="15">
      <c r="A198" s="39"/>
      <c r="B198" s="336" t="s">
        <v>351</v>
      </c>
      <c r="C198" s="355" t="s">
        <v>41</v>
      </c>
      <c r="D198" s="334">
        <v>8.77</v>
      </c>
      <c r="E198" s="29"/>
      <c r="F198" s="332"/>
    </row>
    <row r="199" spans="1:6" s="1" customFormat="1" ht="15">
      <c r="A199" s="39"/>
      <c r="B199" s="336" t="s">
        <v>352</v>
      </c>
      <c r="C199" s="355" t="s">
        <v>41</v>
      </c>
      <c r="D199" s="334">
        <v>22.4</v>
      </c>
      <c r="E199" s="29"/>
      <c r="F199" s="332"/>
    </row>
    <row r="200" spans="1:6" s="1" customFormat="1" ht="15">
      <c r="A200" s="39"/>
      <c r="B200" s="336" t="s">
        <v>353</v>
      </c>
      <c r="C200" s="355" t="s">
        <v>41</v>
      </c>
      <c r="D200" s="334">
        <v>22.7</v>
      </c>
      <c r="E200" s="29"/>
      <c r="F200" s="332"/>
    </row>
    <row r="201" spans="1:6" s="1" customFormat="1" ht="15">
      <c r="A201" s="39"/>
      <c r="B201" s="336" t="s">
        <v>354</v>
      </c>
      <c r="C201" s="355" t="s">
        <v>41</v>
      </c>
      <c r="D201" s="334">
        <v>18.95</v>
      </c>
      <c r="E201" s="29"/>
      <c r="F201" s="332"/>
    </row>
    <row r="202" spans="1:6" s="155" customFormat="1" ht="15">
      <c r="A202" s="39"/>
      <c r="B202" s="63" t="s">
        <v>355</v>
      </c>
      <c r="C202" s="24" t="s">
        <v>41</v>
      </c>
      <c r="D202" s="32">
        <v>45.8</v>
      </c>
      <c r="E202" s="29"/>
      <c r="F202" s="332"/>
    </row>
    <row r="203" spans="1:6" s="155" customFormat="1" ht="15">
      <c r="A203" s="39"/>
      <c r="B203" s="63" t="s">
        <v>356</v>
      </c>
      <c r="C203" s="24" t="s">
        <v>41</v>
      </c>
      <c r="D203" s="32">
        <v>11.2</v>
      </c>
      <c r="E203" s="29"/>
      <c r="F203" s="332"/>
    </row>
    <row r="204" spans="1:6" s="155" customFormat="1" ht="15">
      <c r="A204" s="39"/>
      <c r="B204" s="63" t="s">
        <v>357</v>
      </c>
      <c r="C204" s="24" t="s">
        <v>41</v>
      </c>
      <c r="D204" s="32">
        <v>28.25</v>
      </c>
      <c r="E204" s="29"/>
      <c r="F204" s="332"/>
    </row>
    <row r="205" spans="1:6" s="155" customFormat="1" ht="15">
      <c r="A205" s="39"/>
      <c r="B205" s="63" t="s">
        <v>358</v>
      </c>
      <c r="C205" s="24" t="s">
        <v>41</v>
      </c>
      <c r="D205" s="32">
        <v>21.5</v>
      </c>
      <c r="E205" s="29"/>
      <c r="F205" s="332"/>
    </row>
    <row r="206" spans="1:6" s="1" customFormat="1" ht="15">
      <c r="A206" s="328"/>
      <c r="B206" s="56" t="s">
        <v>227</v>
      </c>
      <c r="C206" s="355"/>
      <c r="D206" s="334"/>
      <c r="E206" s="139"/>
      <c r="F206" s="332"/>
    </row>
    <row r="207" spans="1:6" s="1" customFormat="1" ht="15">
      <c r="A207" s="39"/>
      <c r="B207" s="336" t="s">
        <v>359</v>
      </c>
      <c r="C207" s="355" t="s">
        <v>41</v>
      </c>
      <c r="D207" s="334">
        <v>28.8</v>
      </c>
      <c r="E207" s="29"/>
      <c r="F207" s="332"/>
    </row>
    <row r="208" spans="1:6" s="1" customFormat="1" ht="15">
      <c r="A208" s="39"/>
      <c r="B208" s="336" t="s">
        <v>360</v>
      </c>
      <c r="C208" s="355" t="s">
        <v>41</v>
      </c>
      <c r="D208" s="334">
        <v>22.5</v>
      </c>
      <c r="E208" s="29"/>
      <c r="F208" s="332"/>
    </row>
    <row r="209" spans="1:6" s="1" customFormat="1" ht="15">
      <c r="A209" s="39"/>
      <c r="B209" s="336" t="s">
        <v>361</v>
      </c>
      <c r="C209" s="355" t="s">
        <v>41</v>
      </c>
      <c r="D209" s="334">
        <v>22.1</v>
      </c>
      <c r="E209" s="29"/>
      <c r="F209" s="332"/>
    </row>
    <row r="210" spans="1:6" s="155" customFormat="1" ht="15">
      <c r="A210" s="39"/>
      <c r="B210" s="63" t="s">
        <v>362</v>
      </c>
      <c r="C210" s="24" t="s">
        <v>41</v>
      </c>
      <c r="D210" s="32">
        <v>27.8</v>
      </c>
      <c r="E210" s="29"/>
      <c r="F210" s="332"/>
    </row>
    <row r="211" spans="1:6" s="155" customFormat="1" ht="15">
      <c r="A211" s="39"/>
      <c r="B211" s="63" t="s">
        <v>347</v>
      </c>
      <c r="C211" s="24" t="s">
        <v>41</v>
      </c>
      <c r="D211" s="32">
        <v>29.85</v>
      </c>
      <c r="E211" s="29"/>
      <c r="F211" s="332"/>
    </row>
    <row r="212" spans="1:6" s="155" customFormat="1" ht="15">
      <c r="A212" s="39"/>
      <c r="B212" s="63" t="s">
        <v>348</v>
      </c>
      <c r="C212" s="24" t="s">
        <v>41</v>
      </c>
      <c r="D212" s="32">
        <v>22.05</v>
      </c>
      <c r="E212" s="29"/>
      <c r="F212" s="332"/>
    </row>
    <row r="213" spans="1:6" s="155" customFormat="1" ht="15">
      <c r="A213" s="39"/>
      <c r="B213" s="63" t="s">
        <v>363</v>
      </c>
      <c r="C213" s="24" t="s">
        <v>41</v>
      </c>
      <c r="D213" s="32">
        <v>10.6</v>
      </c>
      <c r="E213" s="29"/>
      <c r="F213" s="332"/>
    </row>
    <row r="214" spans="1:6" s="155" customFormat="1" ht="15">
      <c r="A214" s="39"/>
      <c r="B214" s="63" t="s">
        <v>364</v>
      </c>
      <c r="C214" s="24" t="s">
        <v>41</v>
      </c>
      <c r="D214" s="32">
        <v>13.85</v>
      </c>
      <c r="E214" s="29"/>
      <c r="F214" s="332"/>
    </row>
    <row r="215" spans="1:6" s="155" customFormat="1" ht="15">
      <c r="A215" s="39"/>
      <c r="B215" s="63" t="s">
        <v>365</v>
      </c>
      <c r="C215" s="24" t="s">
        <v>41</v>
      </c>
      <c r="D215" s="32">
        <v>13.7</v>
      </c>
      <c r="E215" s="29"/>
      <c r="F215" s="332"/>
    </row>
    <row r="216" spans="1:6" s="155" customFormat="1" ht="15">
      <c r="A216" s="39"/>
      <c r="B216" s="63" t="s">
        <v>366</v>
      </c>
      <c r="C216" s="24" t="s">
        <v>41</v>
      </c>
      <c r="D216" s="32">
        <v>13.7</v>
      </c>
      <c r="E216" s="29"/>
      <c r="F216" s="332"/>
    </row>
    <row r="217" spans="1:6" s="155" customFormat="1" ht="15">
      <c r="A217" s="39"/>
      <c r="B217" s="63" t="s">
        <v>367</v>
      </c>
      <c r="C217" s="24" t="s">
        <v>41</v>
      </c>
      <c r="D217" s="32">
        <v>13.85</v>
      </c>
      <c r="E217" s="29"/>
      <c r="F217" s="332"/>
    </row>
    <row r="218" spans="1:6" s="1" customFormat="1" ht="15">
      <c r="A218" s="328"/>
      <c r="B218" s="138" t="s">
        <v>228</v>
      </c>
      <c r="C218" s="351"/>
      <c r="D218" s="352"/>
      <c r="E218" s="139"/>
      <c r="F218" s="332"/>
    </row>
    <row r="219" spans="1:6" s="155" customFormat="1" ht="15">
      <c r="A219" s="39"/>
      <c r="B219" s="148" t="s">
        <v>368</v>
      </c>
      <c r="C219" s="133" t="s">
        <v>41</v>
      </c>
      <c r="D219" s="134">
        <v>31.65</v>
      </c>
      <c r="E219" s="147"/>
      <c r="F219" s="332"/>
    </row>
    <row r="220" spans="1:6" s="1" customFormat="1" ht="15">
      <c r="A220" s="39"/>
      <c r="B220" s="354" t="s">
        <v>369</v>
      </c>
      <c r="C220" s="351" t="s">
        <v>41</v>
      </c>
      <c r="D220" s="352">
        <v>22.5</v>
      </c>
      <c r="E220" s="147"/>
      <c r="F220" s="332"/>
    </row>
    <row r="221" spans="1:6" s="1" customFormat="1" ht="15">
      <c r="A221" s="39"/>
      <c r="B221" s="354" t="s">
        <v>370</v>
      </c>
      <c r="C221" s="351" t="s">
        <v>41</v>
      </c>
      <c r="D221" s="352">
        <v>22.1</v>
      </c>
      <c r="E221" s="147"/>
      <c r="F221" s="332"/>
    </row>
    <row r="222" spans="1:6" s="46" customFormat="1">
      <c r="A222" s="39"/>
      <c r="B222" s="354" t="s">
        <v>371</v>
      </c>
      <c r="C222" s="351" t="s">
        <v>41</v>
      </c>
      <c r="D222" s="352">
        <v>30.9</v>
      </c>
      <c r="E222" s="147"/>
      <c r="F222" s="332"/>
    </row>
    <row r="223" spans="1:6" s="155" customFormat="1" ht="15">
      <c r="A223" s="39"/>
      <c r="B223" s="148" t="s">
        <v>372</v>
      </c>
      <c r="C223" s="133" t="s">
        <v>41</v>
      </c>
      <c r="D223" s="134">
        <v>27.6</v>
      </c>
      <c r="E223" s="147"/>
      <c r="F223" s="332"/>
    </row>
    <row r="224" spans="1:6" s="356" customFormat="1">
      <c r="A224" s="39"/>
      <c r="B224" s="148" t="s">
        <v>373</v>
      </c>
      <c r="C224" s="133" t="s">
        <v>41</v>
      </c>
      <c r="D224" s="134">
        <v>21.9</v>
      </c>
      <c r="E224" s="147"/>
      <c r="F224" s="332"/>
    </row>
    <row r="225" spans="1:6" s="356" customFormat="1">
      <c r="A225" s="39"/>
      <c r="B225" s="148" t="s">
        <v>374</v>
      </c>
      <c r="C225" s="133" t="s">
        <v>41</v>
      </c>
      <c r="D225" s="134">
        <v>10.55</v>
      </c>
      <c r="E225" s="147"/>
      <c r="F225" s="332"/>
    </row>
    <row r="226" spans="1:6" s="356" customFormat="1" ht="15" customHeight="1">
      <c r="A226" s="39"/>
      <c r="B226" s="148" t="s">
        <v>375</v>
      </c>
      <c r="C226" s="133" t="s">
        <v>41</v>
      </c>
      <c r="D226" s="134">
        <v>13.8</v>
      </c>
      <c r="E226" s="147"/>
      <c r="F226" s="332"/>
    </row>
    <row r="227" spans="1:6" s="356" customFormat="1" ht="15" customHeight="1">
      <c r="A227" s="39"/>
      <c r="B227" s="148" t="s">
        <v>376</v>
      </c>
      <c r="C227" s="133" t="s">
        <v>41</v>
      </c>
      <c r="D227" s="134">
        <v>13.7</v>
      </c>
      <c r="E227" s="147"/>
      <c r="F227" s="332"/>
    </row>
    <row r="228" spans="1:6" s="356" customFormat="1" ht="15" customHeight="1" thickBot="1">
      <c r="A228" s="163"/>
      <c r="B228" s="164" t="s">
        <v>377</v>
      </c>
      <c r="C228" s="181" t="s">
        <v>41</v>
      </c>
      <c r="D228" s="149">
        <v>13.7</v>
      </c>
      <c r="E228" s="150"/>
      <c r="F228" s="340"/>
    </row>
    <row r="229" spans="1:6" s="356" customFormat="1" ht="15" customHeight="1" thickTop="1">
      <c r="A229" s="167"/>
      <c r="B229" s="473" t="s">
        <v>378</v>
      </c>
      <c r="C229" s="121" t="s">
        <v>41</v>
      </c>
      <c r="D229" s="170">
        <v>13.8</v>
      </c>
      <c r="E229" s="184"/>
      <c r="F229" s="344"/>
    </row>
    <row r="230" spans="1:6" s="1" customFormat="1" ht="15">
      <c r="A230" s="39"/>
      <c r="B230" s="148" t="s">
        <v>309</v>
      </c>
      <c r="C230" s="133" t="s">
        <v>41</v>
      </c>
      <c r="D230" s="134">
        <v>61.1</v>
      </c>
      <c r="E230" s="147"/>
      <c r="F230" s="30"/>
    </row>
    <row r="231" spans="1:6" s="1" customFormat="1" ht="15">
      <c r="A231" s="39"/>
      <c r="B231" s="357" t="s">
        <v>302</v>
      </c>
      <c r="C231" s="133" t="s">
        <v>41</v>
      </c>
      <c r="D231" s="134">
        <v>15.95</v>
      </c>
      <c r="E231" s="147"/>
      <c r="F231" s="30"/>
    </row>
    <row r="232" spans="1:6" s="1" customFormat="1" ht="24">
      <c r="A232" s="39"/>
      <c r="B232" s="357" t="s">
        <v>379</v>
      </c>
      <c r="C232" s="133" t="s">
        <v>61</v>
      </c>
      <c r="D232" s="134">
        <v>18.95</v>
      </c>
      <c r="E232" s="147"/>
      <c r="F232" s="30"/>
    </row>
    <row r="233" spans="1:6" s="1" customFormat="1" ht="24">
      <c r="A233" s="39"/>
      <c r="B233" s="358" t="s">
        <v>380</v>
      </c>
      <c r="C233" s="24" t="s">
        <v>61</v>
      </c>
      <c r="D233" s="32">
        <v>18.55</v>
      </c>
      <c r="E233" s="29"/>
      <c r="F233" s="30"/>
    </row>
    <row r="234" spans="1:6" s="1" customFormat="1" ht="24">
      <c r="A234" s="39"/>
      <c r="B234" s="358" t="s">
        <v>381</v>
      </c>
      <c r="C234" s="24" t="s">
        <v>61</v>
      </c>
      <c r="D234" s="32">
        <v>16.7</v>
      </c>
      <c r="E234" s="29"/>
      <c r="F234" s="30"/>
    </row>
    <row r="235" spans="1:6" s="1" customFormat="1" ht="24">
      <c r="A235" s="39"/>
      <c r="B235" s="358" t="s">
        <v>382</v>
      </c>
      <c r="C235" s="24" t="s">
        <v>61</v>
      </c>
      <c r="D235" s="32">
        <v>18.850000000000001</v>
      </c>
      <c r="E235" s="29"/>
      <c r="F235" s="30"/>
    </row>
    <row r="236" spans="1:6" s="1" customFormat="1" ht="24">
      <c r="A236" s="39"/>
      <c r="B236" s="358" t="s">
        <v>383</v>
      </c>
      <c r="C236" s="24" t="s">
        <v>61</v>
      </c>
      <c r="D236" s="32">
        <v>18.899999999999999</v>
      </c>
      <c r="E236" s="29"/>
      <c r="F236" s="30"/>
    </row>
    <row r="237" spans="1:6" s="1" customFormat="1" ht="24">
      <c r="A237" s="39"/>
      <c r="B237" s="358" t="s">
        <v>384</v>
      </c>
      <c r="C237" s="24" t="s">
        <v>61</v>
      </c>
      <c r="D237" s="32">
        <v>18.600000000000001</v>
      </c>
      <c r="E237" s="29"/>
      <c r="F237" s="30"/>
    </row>
    <row r="238" spans="1:6" s="1" customFormat="1" ht="24">
      <c r="A238" s="39"/>
      <c r="B238" s="358" t="s">
        <v>385</v>
      </c>
      <c r="C238" s="24" t="s">
        <v>61</v>
      </c>
      <c r="D238" s="32">
        <v>21.69</v>
      </c>
      <c r="E238" s="29"/>
      <c r="F238" s="30"/>
    </row>
    <row r="239" spans="1:6" s="1" customFormat="1" ht="24">
      <c r="A239" s="39"/>
      <c r="B239" s="358" t="s">
        <v>386</v>
      </c>
      <c r="C239" s="24" t="s">
        <v>61</v>
      </c>
      <c r="D239" s="32">
        <v>21.65</v>
      </c>
      <c r="E239" s="29"/>
      <c r="F239" s="30"/>
    </row>
    <row r="240" spans="1:6" s="1" customFormat="1" ht="24">
      <c r="A240" s="39"/>
      <c r="B240" s="358" t="s">
        <v>387</v>
      </c>
      <c r="C240" s="24" t="s">
        <v>61</v>
      </c>
      <c r="D240" s="32">
        <v>18.600000000000001</v>
      </c>
      <c r="E240" s="29"/>
      <c r="F240" s="30"/>
    </row>
    <row r="241" spans="1:6" s="1" customFormat="1" ht="24">
      <c r="A241" s="39"/>
      <c r="B241" s="358" t="s">
        <v>388</v>
      </c>
      <c r="C241" s="24" t="s">
        <v>61</v>
      </c>
      <c r="D241" s="32">
        <v>18.91</v>
      </c>
      <c r="E241" s="29"/>
      <c r="F241" s="30"/>
    </row>
    <row r="242" spans="1:6" s="1" customFormat="1" ht="24">
      <c r="A242" s="39"/>
      <c r="B242" s="358" t="s">
        <v>389</v>
      </c>
      <c r="C242" s="24" t="s">
        <v>61</v>
      </c>
      <c r="D242" s="32">
        <v>18.850000000000001</v>
      </c>
      <c r="E242" s="29"/>
      <c r="F242" s="30"/>
    </row>
    <row r="243" spans="1:6" s="1" customFormat="1" ht="24">
      <c r="A243" s="39"/>
      <c r="B243" s="358" t="s">
        <v>390</v>
      </c>
      <c r="C243" s="24" t="s">
        <v>61</v>
      </c>
      <c r="D243" s="32">
        <v>18.7</v>
      </c>
      <c r="E243" s="29"/>
      <c r="F243" s="30"/>
    </row>
    <row r="244" spans="1:6" s="1" customFormat="1" ht="24">
      <c r="A244" s="39"/>
      <c r="B244" s="358" t="s">
        <v>391</v>
      </c>
      <c r="C244" s="24" t="s">
        <v>61</v>
      </c>
      <c r="D244" s="32">
        <v>21.6</v>
      </c>
      <c r="E244" s="29"/>
      <c r="F244" s="30"/>
    </row>
    <row r="245" spans="1:6" s="1" customFormat="1" ht="12" customHeight="1">
      <c r="A245" s="39"/>
      <c r="B245" s="66"/>
      <c r="C245" s="24"/>
      <c r="D245" s="32"/>
      <c r="E245" s="139"/>
      <c r="F245" s="30"/>
    </row>
    <row r="246" spans="1:6" s="64" customFormat="1" ht="15">
      <c r="A246" s="39"/>
      <c r="B246" s="61" t="s">
        <v>392</v>
      </c>
      <c r="C246" s="310"/>
      <c r="D246" s="25"/>
      <c r="E246" s="139"/>
      <c r="F246" s="359"/>
    </row>
    <row r="247" spans="1:6" s="64" customFormat="1" ht="15">
      <c r="A247" s="39"/>
      <c r="B247" s="56" t="s">
        <v>225</v>
      </c>
      <c r="C247" s="310"/>
      <c r="D247" s="25"/>
      <c r="E247" s="139"/>
      <c r="F247" s="359"/>
    </row>
    <row r="248" spans="1:6" s="64" customFormat="1" ht="15">
      <c r="A248" s="39"/>
      <c r="B248" s="63" t="s">
        <v>393</v>
      </c>
      <c r="C248" s="24" t="s">
        <v>41</v>
      </c>
      <c r="D248" s="32">
        <v>2</v>
      </c>
      <c r="E248" s="29"/>
      <c r="F248" s="30"/>
    </row>
    <row r="249" spans="1:6" s="64" customFormat="1" ht="15">
      <c r="A249" s="39"/>
      <c r="B249" s="56" t="s">
        <v>226</v>
      </c>
      <c r="C249" s="310"/>
      <c r="D249" s="25"/>
      <c r="E249" s="139"/>
      <c r="F249" s="359"/>
    </row>
    <row r="250" spans="1:6" s="64" customFormat="1" ht="15">
      <c r="A250" s="39"/>
      <c r="B250" s="63" t="s">
        <v>256</v>
      </c>
      <c r="C250" s="24" t="s">
        <v>41</v>
      </c>
      <c r="D250" s="32">
        <v>2</v>
      </c>
      <c r="E250" s="29"/>
      <c r="F250" s="30"/>
    </row>
    <row r="251" spans="1:6" s="64" customFormat="1" ht="15">
      <c r="A251" s="39"/>
      <c r="B251" s="63"/>
      <c r="C251" s="24"/>
      <c r="D251" s="32"/>
      <c r="E251" s="139"/>
      <c r="F251" s="30"/>
    </row>
    <row r="252" spans="1:6" s="64" customFormat="1" ht="15">
      <c r="A252" s="39"/>
      <c r="B252" s="61" t="s">
        <v>394</v>
      </c>
      <c r="C252" s="24"/>
      <c r="D252" s="32"/>
      <c r="E252" s="139"/>
      <c r="F252" s="30"/>
    </row>
    <row r="253" spans="1:6" s="64" customFormat="1" ht="15">
      <c r="A253" s="39"/>
      <c r="B253" s="56" t="s">
        <v>225</v>
      </c>
      <c r="C253" s="24"/>
      <c r="D253" s="313"/>
      <c r="E253" s="139"/>
      <c r="F253" s="30"/>
    </row>
    <row r="254" spans="1:6" s="46" customFormat="1" ht="12.75" thickBot="1">
      <c r="A254" s="163"/>
      <c r="B254" s="75" t="s">
        <v>244</v>
      </c>
      <c r="C254" s="83" t="s">
        <v>41</v>
      </c>
      <c r="D254" s="77">
        <f>8.63+(6.21*0.1)</f>
        <v>9.2510000000000012</v>
      </c>
      <c r="E254" s="78"/>
      <c r="F254" s="79"/>
    </row>
    <row r="255" spans="1:6" s="64" customFormat="1" ht="15.75" thickTop="1">
      <c r="A255" s="167"/>
      <c r="B255" s="350" t="s">
        <v>395</v>
      </c>
      <c r="C255" s="10" t="s">
        <v>41</v>
      </c>
      <c r="D255" s="11">
        <f>3.75+(1.6*0.1)</f>
        <v>3.91</v>
      </c>
      <c r="E255" s="12"/>
      <c r="F255" s="13"/>
    </row>
    <row r="256" spans="1:6" s="64" customFormat="1" ht="15">
      <c r="A256" s="39"/>
      <c r="B256" s="333" t="s">
        <v>396</v>
      </c>
      <c r="C256" s="24" t="s">
        <v>41</v>
      </c>
      <c r="D256" s="32">
        <f>6.13+(1.6*0.1)</f>
        <v>6.29</v>
      </c>
      <c r="E256" s="29"/>
      <c r="F256" s="30"/>
    </row>
    <row r="257" spans="1:9" s="64" customFormat="1" ht="24">
      <c r="A257" s="39"/>
      <c r="B257" s="358" t="s">
        <v>397</v>
      </c>
      <c r="C257" s="24" t="s">
        <v>41</v>
      </c>
      <c r="D257" s="32">
        <f>5.92+(1.18*0.1)</f>
        <v>6.0380000000000003</v>
      </c>
      <c r="E257" s="29"/>
      <c r="F257" s="30"/>
    </row>
    <row r="258" spans="1:9" s="64" customFormat="1" ht="15">
      <c r="A258" s="39"/>
      <c r="B258" s="56" t="s">
        <v>226</v>
      </c>
      <c r="C258" s="24"/>
      <c r="D258" s="32"/>
      <c r="E258" s="139"/>
      <c r="F258" s="30"/>
    </row>
    <row r="259" spans="1:9" s="64" customFormat="1" ht="15">
      <c r="A259" s="39"/>
      <c r="B259" s="333" t="s">
        <v>398</v>
      </c>
      <c r="C259" s="24" t="s">
        <v>41</v>
      </c>
      <c r="D259" s="32">
        <f>5.95+(1.18*0.1)</f>
        <v>6.0680000000000005</v>
      </c>
      <c r="E259" s="29"/>
      <c r="F259" s="30"/>
    </row>
    <row r="260" spans="1:9" s="64" customFormat="1" ht="15">
      <c r="A260" s="39"/>
      <c r="B260" s="333" t="s">
        <v>272</v>
      </c>
      <c r="C260" s="24" t="s">
        <v>41</v>
      </c>
      <c r="D260" s="32">
        <f>3.6+(1.6*0.1)</f>
        <v>3.7600000000000002</v>
      </c>
      <c r="E260" s="29"/>
      <c r="F260" s="30"/>
    </row>
    <row r="261" spans="1:9" s="1" customFormat="1" ht="15">
      <c r="A261" s="39"/>
      <c r="B261" s="333" t="s">
        <v>273</v>
      </c>
      <c r="C261" s="24" t="s">
        <v>41</v>
      </c>
      <c r="D261" s="32">
        <f>5.84+(1.6*0.1)</f>
        <v>6</v>
      </c>
      <c r="E261" s="29"/>
      <c r="F261" s="30"/>
    </row>
    <row r="262" spans="1:9" s="46" customFormat="1">
      <c r="A262" s="39"/>
      <c r="B262" s="66"/>
      <c r="C262" s="310"/>
      <c r="D262" s="25"/>
      <c r="E262" s="139"/>
      <c r="F262" s="359"/>
    </row>
    <row r="263" spans="1:9" s="1" customFormat="1" ht="15">
      <c r="A263" s="39"/>
      <c r="B263" s="61" t="s">
        <v>145</v>
      </c>
      <c r="C263" s="24"/>
      <c r="D263" s="32"/>
      <c r="E263" s="139"/>
      <c r="F263" s="30"/>
    </row>
    <row r="264" spans="1:9" s="64" customFormat="1" ht="15">
      <c r="A264" s="39"/>
      <c r="B264" s="56" t="s">
        <v>227</v>
      </c>
      <c r="C264" s="24"/>
      <c r="D264" s="313"/>
      <c r="E264" s="139"/>
      <c r="F264" s="30"/>
      <c r="I264" s="64" t="s">
        <v>33</v>
      </c>
    </row>
    <row r="265" spans="1:9" s="1" customFormat="1" ht="24">
      <c r="A265" s="39"/>
      <c r="B265" s="358" t="s">
        <v>399</v>
      </c>
      <c r="C265" s="24" t="s">
        <v>61</v>
      </c>
      <c r="D265" s="32">
        <v>16.100000000000001</v>
      </c>
      <c r="E265" s="29"/>
      <c r="F265" s="30"/>
    </row>
    <row r="266" spans="1:9" s="1" customFormat="1" ht="24">
      <c r="A266" s="39"/>
      <c r="B266" s="358" t="s">
        <v>400</v>
      </c>
      <c r="C266" s="24" t="s">
        <v>61</v>
      </c>
      <c r="D266" s="32">
        <v>18.899999999999999</v>
      </c>
      <c r="E266" s="29"/>
      <c r="F266" s="30"/>
    </row>
    <row r="267" spans="1:9" s="1" customFormat="1" ht="24">
      <c r="A267" s="39"/>
      <c r="B267" s="358" t="s">
        <v>401</v>
      </c>
      <c r="C267" s="24" t="s">
        <v>61</v>
      </c>
      <c r="D267" s="32">
        <v>18.600000000000001</v>
      </c>
      <c r="E267" s="29"/>
      <c r="F267" s="30"/>
    </row>
    <row r="268" spans="1:9" s="1" customFormat="1" ht="24">
      <c r="A268" s="39"/>
      <c r="B268" s="358" t="s">
        <v>402</v>
      </c>
      <c r="C268" s="24" t="s">
        <v>61</v>
      </c>
      <c r="D268" s="32">
        <v>18.72</v>
      </c>
      <c r="E268" s="29"/>
      <c r="F268" s="30"/>
    </row>
    <row r="269" spans="1:9" s="1" customFormat="1" ht="24">
      <c r="A269" s="39"/>
      <c r="B269" s="358" t="s">
        <v>403</v>
      </c>
      <c r="C269" s="24" t="s">
        <v>61</v>
      </c>
      <c r="D269" s="32">
        <v>18.7</v>
      </c>
      <c r="E269" s="29"/>
      <c r="F269" s="30"/>
    </row>
    <row r="270" spans="1:9" s="1" customFormat="1" ht="24">
      <c r="A270" s="39"/>
      <c r="B270" s="358" t="s">
        <v>404</v>
      </c>
      <c r="C270" s="24" t="s">
        <v>61</v>
      </c>
      <c r="D270" s="32">
        <v>18.7</v>
      </c>
      <c r="E270" s="29"/>
      <c r="F270" s="30"/>
    </row>
    <row r="271" spans="1:9" s="1" customFormat="1" ht="24">
      <c r="A271" s="39"/>
      <c r="B271" s="358" t="s">
        <v>405</v>
      </c>
      <c r="C271" s="24" t="s">
        <v>61</v>
      </c>
      <c r="D271" s="32">
        <v>18.45</v>
      </c>
      <c r="E271" s="29"/>
      <c r="F271" s="30"/>
    </row>
    <row r="272" spans="1:9" s="64" customFormat="1" ht="24">
      <c r="A272" s="39"/>
      <c r="B272" s="358" t="s">
        <v>406</v>
      </c>
      <c r="C272" s="24" t="s">
        <v>61</v>
      </c>
      <c r="D272" s="32">
        <v>21.57</v>
      </c>
      <c r="E272" s="29"/>
      <c r="F272" s="30"/>
    </row>
    <row r="273" spans="1:9" s="64" customFormat="1" ht="36">
      <c r="A273" s="39"/>
      <c r="B273" s="358" t="s">
        <v>407</v>
      </c>
      <c r="C273" s="24" t="s">
        <v>61</v>
      </c>
      <c r="D273" s="32">
        <v>21.46</v>
      </c>
      <c r="E273" s="29"/>
      <c r="F273" s="30"/>
    </row>
    <row r="274" spans="1:9" s="64" customFormat="1" ht="24">
      <c r="A274" s="39"/>
      <c r="B274" s="358" t="s">
        <v>408</v>
      </c>
      <c r="C274" s="24" t="s">
        <v>61</v>
      </c>
      <c r="D274" s="32">
        <v>18.45</v>
      </c>
      <c r="E274" s="29"/>
      <c r="F274" s="30"/>
    </row>
    <row r="275" spans="1:9" s="64" customFormat="1" ht="24">
      <c r="A275" s="39"/>
      <c r="B275" s="358" t="s">
        <v>409</v>
      </c>
      <c r="C275" s="24" t="s">
        <v>61</v>
      </c>
      <c r="D275" s="32">
        <v>18.7</v>
      </c>
      <c r="E275" s="29"/>
      <c r="F275" s="30"/>
    </row>
    <row r="276" spans="1:9" s="64" customFormat="1" ht="24">
      <c r="A276" s="39"/>
      <c r="B276" s="358" t="s">
        <v>410</v>
      </c>
      <c r="C276" s="24" t="s">
        <v>61</v>
      </c>
      <c r="D276" s="32">
        <v>18.7</v>
      </c>
      <c r="E276" s="29"/>
      <c r="F276" s="30"/>
    </row>
    <row r="277" spans="1:9" s="64" customFormat="1" ht="24">
      <c r="A277" s="39"/>
      <c r="B277" s="358" t="s">
        <v>411</v>
      </c>
      <c r="C277" s="24" t="s">
        <v>61</v>
      </c>
      <c r="D277" s="32">
        <v>18.75</v>
      </c>
      <c r="E277" s="29"/>
      <c r="F277" s="30"/>
    </row>
    <row r="278" spans="1:9" s="64" customFormat="1" ht="24">
      <c r="A278" s="39"/>
      <c r="B278" s="358" t="s">
        <v>412</v>
      </c>
      <c r="C278" s="24" t="s">
        <v>61</v>
      </c>
      <c r="D278" s="32">
        <v>22</v>
      </c>
      <c r="E278" s="29"/>
      <c r="F278" s="30"/>
    </row>
    <row r="279" spans="1:9" s="1" customFormat="1" ht="15.75" thickBot="1">
      <c r="A279" s="163"/>
      <c r="B279" s="75"/>
      <c r="C279" s="83"/>
      <c r="D279" s="77"/>
      <c r="E279" s="84"/>
      <c r="F279" s="79"/>
    </row>
    <row r="280" spans="1:9" s="1" customFormat="1" ht="15.75" thickTop="1">
      <c r="A280" s="167"/>
      <c r="B280" s="183" t="s">
        <v>413</v>
      </c>
      <c r="C280" s="121"/>
      <c r="D280" s="170"/>
      <c r="E280" s="472"/>
      <c r="F280" s="187"/>
    </row>
    <row r="281" spans="1:9" s="1" customFormat="1" ht="15">
      <c r="A281" s="72"/>
      <c r="B281" s="138" t="s">
        <v>226</v>
      </c>
      <c r="C281" s="133"/>
      <c r="D281" s="180"/>
      <c r="E281" s="139"/>
      <c r="F281" s="137"/>
    </row>
    <row r="282" spans="1:9" s="1" customFormat="1" ht="36">
      <c r="A282" s="39"/>
      <c r="B282" s="357" t="s">
        <v>414</v>
      </c>
      <c r="C282" s="133" t="s">
        <v>415</v>
      </c>
      <c r="D282" s="134">
        <v>1</v>
      </c>
      <c r="E282" s="147"/>
      <c r="F282" s="137"/>
      <c r="I282" s="1" t="s">
        <v>33</v>
      </c>
    </row>
    <row r="283" spans="1:9" s="1" customFormat="1" ht="36">
      <c r="A283" s="39"/>
      <c r="B283" s="132" t="s">
        <v>416</v>
      </c>
      <c r="C283" s="133" t="s">
        <v>415</v>
      </c>
      <c r="D283" s="134">
        <v>1</v>
      </c>
      <c r="E283" s="147"/>
      <c r="F283" s="137"/>
    </row>
    <row r="284" spans="1:9" s="1" customFormat="1" ht="15.75" thickBot="1">
      <c r="A284" s="39"/>
      <c r="B284" s="63"/>
      <c r="C284" s="24"/>
      <c r="D284" s="32"/>
      <c r="E284" s="57"/>
      <c r="F284" s="30"/>
    </row>
    <row r="285" spans="1:9" s="89" customFormat="1" ht="27" customHeight="1" thickTop="1" thickBot="1">
      <c r="A285" s="301"/>
      <c r="B285" s="360" t="s">
        <v>33</v>
      </c>
      <c r="C285" s="474" t="str">
        <f>+B155</f>
        <v>FAUX PLAFOND</v>
      </c>
      <c r="D285" s="475"/>
      <c r="E285" s="476"/>
      <c r="F285" s="51"/>
    </row>
    <row r="286" spans="1:9" s="46" customFormat="1" ht="13.5" thickTop="1" thickBot="1">
      <c r="A286" s="361"/>
      <c r="B286" s="75"/>
      <c r="C286" s="69"/>
      <c r="D286" s="53"/>
      <c r="E286" s="362"/>
      <c r="F286" s="30"/>
    </row>
    <row r="287" spans="1:9" ht="30" customHeight="1" thickTop="1" thickBot="1">
      <c r="A287" s="477" t="s">
        <v>63</v>
      </c>
      <c r="B287" s="478"/>
      <c r="C287" s="478"/>
      <c r="D287" s="478"/>
      <c r="E287" s="479"/>
      <c r="F287" s="102"/>
    </row>
    <row r="288" spans="1:9" ht="12.75" thickTop="1"/>
    <row r="290" spans="1:6">
      <c r="A290" s="107" t="s">
        <v>64</v>
      </c>
      <c r="E290" s="111"/>
      <c r="F290" s="112"/>
    </row>
    <row r="293" spans="1:6" ht="15" customHeight="1">
      <c r="B293" s="104" t="s">
        <v>33</v>
      </c>
      <c r="D293" s="530"/>
      <c r="E293" s="530"/>
      <c r="F293" s="363"/>
    </row>
    <row r="294" spans="1:6" ht="15">
      <c r="D294" s="111"/>
      <c r="E294" s="113"/>
      <c r="F294" s="299"/>
    </row>
    <row r="297" spans="1:6">
      <c r="B297" s="104" t="s">
        <v>33</v>
      </c>
    </row>
  </sheetData>
  <mergeCells count="14">
    <mergeCell ref="E9:F9"/>
    <mergeCell ref="A1:F1"/>
    <mergeCell ref="A2:F2"/>
    <mergeCell ref="A3:F3"/>
    <mergeCell ref="A4:F4"/>
    <mergeCell ref="E8:F8"/>
    <mergeCell ref="A287:E287"/>
    <mergeCell ref="D293:E293"/>
    <mergeCell ref="E11:F11"/>
    <mergeCell ref="C32:E32"/>
    <mergeCell ref="B34:B38"/>
    <mergeCell ref="C47:E47"/>
    <mergeCell ref="C153:E153"/>
    <mergeCell ref="C285:E285"/>
  </mergeCells>
  <conditionalFormatting sqref="E10 E158 E177:E182">
    <cfRule type="cellIs" dxfId="68" priority="5" operator="equal">
      <formula>0</formula>
    </cfRule>
  </conditionalFormatting>
  <conditionalFormatting sqref="E42:E45">
    <cfRule type="cellIs" dxfId="67" priority="4" operator="equal">
      <formula>0</formula>
    </cfRule>
  </conditionalFormatting>
  <conditionalFormatting sqref="E52:E73">
    <cfRule type="cellIs" dxfId="66" priority="3" operator="equal">
      <formula>0</formula>
    </cfRule>
  </conditionalFormatting>
  <conditionalFormatting sqref="E75:E103 E105:E126 E128:E151">
    <cfRule type="cellIs" dxfId="65" priority="2" operator="equal">
      <formula>0</formula>
    </cfRule>
  </conditionalFormatting>
  <conditionalFormatting sqref="E160:E161 E165:E175 E184 E188:E195 E197:E205 E207:E217 E219:E244 E248 E250 E254:E257 E259:E261 E265:E278 E282:E283">
    <cfRule type="cellIs" dxfId="64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1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7" manualBreakCount="7">
    <brk id="54" max="5" man="1"/>
    <brk id="97" max="5" man="1"/>
    <brk id="143" max="5" man="1"/>
    <brk id="184" max="5" man="1"/>
    <brk id="228" max="5" man="1"/>
    <brk id="254" max="5" man="1"/>
    <brk id="27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14812-0135-4377-9145-21B2977D94D8}">
  <sheetPr codeName="Feuil73">
    <pageSetUpPr fitToPage="1"/>
  </sheetPr>
  <dimension ref="A1:H93"/>
  <sheetViews>
    <sheetView topLeftCell="A82" zoomScaleNormal="100" zoomScaleSheetLayoutView="115" workbookViewId="0">
      <selection activeCell="K94" sqref="K94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381" customWidth="1"/>
    <col min="6" max="6" width="17.7109375" style="106" customWidth="1"/>
    <col min="7" max="8" width="11.42578125" style="14"/>
    <col min="9" max="9" width="13.5703125" style="14" bestFit="1" customWidth="1"/>
    <col min="10" max="16384" width="11.42578125" style="14"/>
  </cols>
  <sheetData>
    <row r="1" spans="1:6" s="364" customFormat="1" ht="33.950000000000003" customHeight="1" thickTop="1" thickBot="1">
      <c r="A1" s="489" t="s">
        <v>0</v>
      </c>
      <c r="B1" s="490"/>
      <c r="C1" s="490"/>
      <c r="D1" s="490"/>
      <c r="E1" s="490"/>
      <c r="F1" s="491"/>
    </row>
    <row r="2" spans="1:6" s="365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s="365" customFormat="1" ht="33.950000000000003" customHeight="1" thickTop="1" thickBot="1">
      <c r="A3" s="492" t="s">
        <v>417</v>
      </c>
      <c r="B3" s="493"/>
      <c r="C3" s="493"/>
      <c r="D3" s="493"/>
      <c r="E3" s="493"/>
      <c r="F3" s="494"/>
    </row>
    <row r="4" spans="1:6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366" t="s">
        <v>8</v>
      </c>
      <c r="F5" s="6" t="s">
        <v>9</v>
      </c>
    </row>
    <row r="6" spans="1:6" ht="12.75" thickTop="1">
      <c r="A6" s="8"/>
      <c r="B6" s="9"/>
      <c r="C6" s="10"/>
      <c r="D6" s="53"/>
      <c r="E6" s="367"/>
      <c r="F6" s="368"/>
    </row>
    <row r="7" spans="1:6" s="21" customFormat="1" ht="20.100000000000001" customHeight="1">
      <c r="A7" s="15">
        <v>10.1</v>
      </c>
      <c r="B7" s="16" t="s">
        <v>10</v>
      </c>
      <c r="C7" s="17"/>
      <c r="D7" s="18"/>
      <c r="E7" s="369"/>
      <c r="F7" s="60"/>
    </row>
    <row r="8" spans="1:6" s="322" customForma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.75" customHeight="1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 s="33" customFormat="1" ht="15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ht="12.75">
      <c r="A12" s="304"/>
      <c r="B12" s="23"/>
      <c r="C12" s="24"/>
      <c r="D12" s="370"/>
      <c r="E12" s="369"/>
      <c r="F12" s="371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19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8" customFormat="1" ht="12" customHeight="1">
      <c r="A17" s="39"/>
      <c r="B17" s="40" t="s">
        <v>22</v>
      </c>
      <c r="C17" s="41"/>
      <c r="D17" s="25"/>
      <c r="E17" s="42"/>
      <c r="F17" s="43"/>
    </row>
    <row r="18" spans="1:8" customFormat="1" ht="12" customHeight="1">
      <c r="A18" s="39"/>
      <c r="B18" s="40" t="s">
        <v>23</v>
      </c>
      <c r="C18" s="41"/>
      <c r="D18" s="25"/>
      <c r="E18" s="42"/>
      <c r="F18" s="43"/>
    </row>
    <row r="19" spans="1:8" customFormat="1" ht="12" customHeight="1">
      <c r="A19" s="39"/>
      <c r="B19" s="40" t="s">
        <v>24</v>
      </c>
      <c r="C19" s="41"/>
      <c r="D19" s="25"/>
      <c r="E19" s="42"/>
      <c r="F19" s="43"/>
    </row>
    <row r="20" spans="1:8" customFormat="1" ht="12" customHeight="1">
      <c r="A20" s="39"/>
      <c r="B20" s="40" t="s">
        <v>25</v>
      </c>
      <c r="C20" s="41"/>
      <c r="D20" s="25"/>
      <c r="E20" s="42"/>
      <c r="F20" s="43"/>
    </row>
    <row r="21" spans="1:8" customFormat="1" ht="12" customHeight="1">
      <c r="A21" s="39"/>
      <c r="B21" s="40" t="s">
        <v>26</v>
      </c>
      <c r="C21" s="41"/>
      <c r="D21" s="25"/>
      <c r="E21" s="42"/>
      <c r="F21" s="43"/>
    </row>
    <row r="22" spans="1:8" customFormat="1" ht="12" customHeight="1">
      <c r="A22" s="39"/>
      <c r="B22" s="40" t="s">
        <v>27</v>
      </c>
      <c r="C22" s="41"/>
      <c r="D22" s="25"/>
      <c r="E22" s="42"/>
      <c r="F22" s="43"/>
    </row>
    <row r="23" spans="1:8" customFormat="1" ht="12" customHeight="1">
      <c r="A23" s="39"/>
      <c r="B23" s="40" t="s">
        <v>28</v>
      </c>
      <c r="C23" s="41"/>
      <c r="D23" s="25"/>
      <c r="E23" s="42"/>
      <c r="F23" s="43"/>
    </row>
    <row r="24" spans="1:8" customFormat="1" ht="12" customHeight="1">
      <c r="A24" s="39"/>
      <c r="B24" s="40" t="s">
        <v>29</v>
      </c>
      <c r="C24" s="41"/>
      <c r="D24" s="25"/>
      <c r="E24" s="42"/>
      <c r="F24" s="43"/>
    </row>
    <row r="25" spans="1:8" customFormat="1" ht="12" customHeight="1">
      <c r="A25" s="39"/>
      <c r="B25" s="40" t="s">
        <v>30</v>
      </c>
      <c r="C25" s="41"/>
      <c r="D25" s="25"/>
      <c r="E25" s="42"/>
      <c r="F25" s="43"/>
    </row>
    <row r="26" spans="1:8" customFormat="1" ht="12" customHeight="1">
      <c r="A26" s="39"/>
      <c r="B26" s="40" t="s">
        <v>31</v>
      </c>
      <c r="C26" s="41"/>
      <c r="D26" s="25"/>
      <c r="E26" s="42"/>
      <c r="F26" s="43"/>
    </row>
    <row r="27" spans="1:8" customFormat="1" ht="12" customHeight="1">
      <c r="A27" s="39"/>
      <c r="B27" s="40" t="s">
        <v>32</v>
      </c>
      <c r="C27" s="41"/>
      <c r="D27" s="25"/>
      <c r="E27" s="42"/>
      <c r="F27" s="43"/>
      <c r="H27" t="s">
        <v>33</v>
      </c>
    </row>
    <row r="28" spans="1:8" customFormat="1" ht="12" customHeight="1">
      <c r="A28" s="39"/>
      <c r="B28" s="40" t="s">
        <v>34</v>
      </c>
      <c r="C28" s="41"/>
      <c r="D28" s="25"/>
      <c r="E28" s="42"/>
      <c r="F28" s="43"/>
    </row>
    <row r="29" spans="1:8" customFormat="1" ht="12" customHeight="1">
      <c r="A29" s="39"/>
      <c r="B29" s="40" t="s">
        <v>35</v>
      </c>
      <c r="C29" s="41"/>
      <c r="D29" s="25"/>
      <c r="E29" s="42"/>
      <c r="F29" s="43"/>
    </row>
    <row r="30" spans="1:8" customFormat="1" ht="12" customHeight="1">
      <c r="A30" s="39"/>
      <c r="B30" s="40" t="s">
        <v>36</v>
      </c>
      <c r="C30" s="41"/>
      <c r="D30" s="25"/>
      <c r="E30" s="42"/>
      <c r="F30" s="43"/>
    </row>
    <row r="31" spans="1:8" ht="12.75" thickBot="1">
      <c r="A31" s="22"/>
      <c r="B31" s="372"/>
      <c r="C31" s="310"/>
      <c r="D31" s="77"/>
      <c r="E31" s="84"/>
      <c r="F31" s="79"/>
    </row>
    <row r="32" spans="1:8" ht="27" customHeight="1" thickTop="1" thickBot="1">
      <c r="A32" s="22"/>
      <c r="B32" s="50"/>
      <c r="C32" s="474" t="s">
        <v>10</v>
      </c>
      <c r="D32" s="475"/>
      <c r="E32" s="476"/>
      <c r="F32" s="51"/>
    </row>
    <row r="33" spans="1:8" s="1" customFormat="1" ht="16.5" thickTop="1" thickBot="1">
      <c r="A33" s="39"/>
      <c r="B33" s="52"/>
      <c r="C33" s="44"/>
      <c r="D33" s="53"/>
      <c r="E33" s="367"/>
      <c r="F33" s="368"/>
    </row>
    <row r="34" spans="1:8" s="1" customFormat="1" ht="15.75" customHeight="1" thickTop="1">
      <c r="A34" s="39"/>
      <c r="B34" s="483" t="s">
        <v>37</v>
      </c>
      <c r="C34" s="44"/>
      <c r="D34" s="32"/>
      <c r="E34" s="57"/>
      <c r="F34" s="30"/>
    </row>
    <row r="35" spans="1:8" s="1" customFormat="1" ht="15">
      <c r="A35" s="39"/>
      <c r="B35" s="484"/>
      <c r="C35" s="44"/>
      <c r="D35" s="32"/>
      <c r="E35" s="57"/>
      <c r="F35" s="30"/>
    </row>
    <row r="36" spans="1:8" s="1" customFormat="1" ht="15">
      <c r="A36" s="39"/>
      <c r="B36" s="484"/>
      <c r="C36" s="44"/>
      <c r="D36" s="32"/>
      <c r="E36" s="57"/>
      <c r="F36" s="30"/>
    </row>
    <row r="37" spans="1:8" s="1" customFormat="1" ht="15" customHeight="1">
      <c r="A37" s="39" t="s">
        <v>33</v>
      </c>
      <c r="B37" s="484"/>
      <c r="C37" s="44"/>
      <c r="D37" s="32"/>
      <c r="E37" s="57"/>
      <c r="F37" s="30"/>
    </row>
    <row r="38" spans="1:8" s="1" customFormat="1" ht="15.75" thickBot="1">
      <c r="A38" s="39"/>
      <c r="B38" s="485"/>
      <c r="C38" s="44"/>
      <c r="D38" s="32"/>
      <c r="E38" s="57"/>
      <c r="F38" s="30"/>
    </row>
    <row r="39" spans="1:8" s="1" customFormat="1" ht="15.75" thickTop="1">
      <c r="A39" s="39"/>
      <c r="B39" s="56"/>
      <c r="C39" s="44"/>
      <c r="D39" s="32"/>
      <c r="E39" s="57"/>
      <c r="F39" s="30"/>
    </row>
    <row r="40" spans="1:8" s="21" customFormat="1" ht="20.100000000000001" customHeight="1">
      <c r="A40" s="15">
        <f>A7+0.1</f>
        <v>10.199999999999999</v>
      </c>
      <c r="B40" s="58" t="s">
        <v>38</v>
      </c>
      <c r="C40" s="17"/>
      <c r="D40" s="18"/>
      <c r="E40" s="369"/>
      <c r="F40" s="60"/>
    </row>
    <row r="41" spans="1:8" ht="15" customHeight="1">
      <c r="A41" s="22">
        <f>A40+0.001</f>
        <v>10.200999999999999</v>
      </c>
      <c r="B41" s="61" t="s">
        <v>39</v>
      </c>
      <c r="C41" s="24"/>
      <c r="D41" s="32"/>
      <c r="E41" s="57"/>
      <c r="F41" s="26"/>
    </row>
    <row r="42" spans="1:8" s="64" customFormat="1" ht="12" customHeight="1">
      <c r="A42" s="39"/>
      <c r="B42" s="63" t="s">
        <v>418</v>
      </c>
      <c r="C42" s="24" t="s">
        <v>41</v>
      </c>
      <c r="D42" s="32">
        <v>124.53</v>
      </c>
      <c r="E42" s="29"/>
      <c r="F42" s="30"/>
      <c r="H42" s="1"/>
    </row>
    <row r="43" spans="1:8" s="252" customFormat="1" ht="15.75" thickBot="1">
      <c r="A43" s="22"/>
      <c r="B43" s="66"/>
      <c r="C43" s="24"/>
      <c r="D43" s="373"/>
      <c r="E43" s="84"/>
      <c r="F43" s="71"/>
      <c r="H43" s="374"/>
    </row>
    <row r="44" spans="1:8" ht="27" customHeight="1" thickTop="1" thickBot="1">
      <c r="A44" s="22"/>
      <c r="B44" s="375"/>
      <c r="C44" s="474" t="str">
        <f>+B40</f>
        <v>DEMOLITION - DEPOSE</v>
      </c>
      <c r="D44" s="475"/>
      <c r="E44" s="476"/>
      <c r="F44" s="51"/>
    </row>
    <row r="45" spans="1:8" ht="12" customHeight="1" thickTop="1">
      <c r="A45" s="22"/>
      <c r="B45" s="68"/>
      <c r="C45" s="24"/>
      <c r="D45" s="53"/>
      <c r="E45" s="367"/>
      <c r="F45" s="30"/>
    </row>
    <row r="46" spans="1:8" s="21" customFormat="1" ht="20.100000000000001" customHeight="1">
      <c r="A46" s="15">
        <f>A40+0.1</f>
        <v>10.299999999999999</v>
      </c>
      <c r="B46" s="58" t="s">
        <v>42</v>
      </c>
      <c r="C46" s="17"/>
      <c r="D46" s="18"/>
      <c r="E46" s="369"/>
      <c r="F46" s="60"/>
    </row>
    <row r="47" spans="1:8" ht="15" customHeight="1">
      <c r="A47" s="22">
        <f>A46+0.001</f>
        <v>10.300999999999998</v>
      </c>
      <c r="B47" s="61" t="s">
        <v>43</v>
      </c>
      <c r="C47" s="69"/>
      <c r="D47" s="32"/>
      <c r="E47" s="57"/>
      <c r="F47" s="71"/>
    </row>
    <row r="48" spans="1:8" s="64" customFormat="1" ht="12" customHeight="1">
      <c r="A48" s="39"/>
      <c r="B48" s="63" t="s">
        <v>419</v>
      </c>
      <c r="C48" s="312" t="s">
        <v>41</v>
      </c>
      <c r="D48" s="32">
        <f>(10.69*2.7)-((1.4*2.1)+(3*0.9*2.1)+(1.5*2.1))</f>
        <v>17.102999999999998</v>
      </c>
      <c r="E48" s="29"/>
      <c r="F48" s="30"/>
      <c r="G48" s="1"/>
    </row>
    <row r="49" spans="1:7" s="64" customFormat="1" ht="12" customHeight="1">
      <c r="A49" s="39"/>
      <c r="B49" s="63" t="s">
        <v>420</v>
      </c>
      <c r="C49" s="312" t="s">
        <v>41</v>
      </c>
      <c r="D49" s="32">
        <f>(25.54*2.7)-((2.4*2.75)+(1.4*2.1))</f>
        <v>59.417999999999999</v>
      </c>
      <c r="E49" s="29"/>
      <c r="F49" s="30"/>
      <c r="G49" s="1"/>
    </row>
    <row r="50" spans="1:7" s="64" customFormat="1" ht="12" customHeight="1">
      <c r="A50" s="39"/>
      <c r="B50" s="63" t="s">
        <v>421</v>
      </c>
      <c r="C50" s="312" t="s">
        <v>41</v>
      </c>
      <c r="D50" s="32">
        <f>(13.45*2.7)-((1.5*1.7)+(1.2*1.7)+(0.9*2.1))</f>
        <v>29.834999999999997</v>
      </c>
      <c r="E50" s="29"/>
      <c r="F50" s="30"/>
      <c r="G50" s="1"/>
    </row>
    <row r="51" spans="1:7" s="64" customFormat="1" ht="12" customHeight="1" thickBot="1">
      <c r="A51" s="163"/>
      <c r="B51" s="75" t="s">
        <v>422</v>
      </c>
      <c r="C51" s="376" t="s">
        <v>41</v>
      </c>
      <c r="D51" s="77">
        <f>(17.06*2.7)-(6*0.9*2.1)</f>
        <v>34.721999999999994</v>
      </c>
      <c r="E51" s="78"/>
      <c r="F51" s="79"/>
      <c r="G51" s="1"/>
    </row>
    <row r="52" spans="1:7" s="64" customFormat="1" ht="12" customHeight="1" thickTop="1">
      <c r="A52" s="167"/>
      <c r="B52" s="81" t="s">
        <v>423</v>
      </c>
      <c r="C52" s="377" t="s">
        <v>41</v>
      </c>
      <c r="D52" s="11">
        <f>(5.3*2.7)-((0.9*2.1))</f>
        <v>12.42</v>
      </c>
      <c r="E52" s="12"/>
      <c r="F52" s="13"/>
      <c r="G52" s="1"/>
    </row>
    <row r="53" spans="1:7" s="64" customFormat="1" ht="12" customHeight="1">
      <c r="A53" s="39"/>
      <c r="B53" s="63" t="s">
        <v>424</v>
      </c>
      <c r="C53" s="312" t="s">
        <v>41</v>
      </c>
      <c r="D53" s="32">
        <f>(15.52*2.7)-((2*0.9*2.1)+(1.5*2.1)+(2*1.8*2.75))</f>
        <v>25.074000000000002</v>
      </c>
      <c r="E53" s="29"/>
      <c r="F53" s="30"/>
      <c r="G53" s="1"/>
    </row>
    <row r="54" spans="1:7" s="64" customFormat="1" ht="12" customHeight="1">
      <c r="A54" s="39"/>
      <c r="B54" s="63" t="s">
        <v>425</v>
      </c>
      <c r="C54" s="312" t="s">
        <v>41</v>
      </c>
      <c r="D54" s="32">
        <f>(4.72*2.7)-((1.5*2.1))</f>
        <v>9.5939999999999994</v>
      </c>
      <c r="E54" s="29"/>
      <c r="F54" s="30"/>
      <c r="G54" s="1"/>
    </row>
    <row r="55" spans="1:7" s="64" customFormat="1" ht="12" customHeight="1">
      <c r="A55" s="39"/>
      <c r="B55" s="63" t="s">
        <v>426</v>
      </c>
      <c r="C55" s="312" t="s">
        <v>41</v>
      </c>
      <c r="D55" s="32">
        <f>(13.54*2.7)-((1.5*2.1)+(2*0.9*2.1)+(1.8*2.75))</f>
        <v>24.677999999999997</v>
      </c>
      <c r="E55" s="29"/>
      <c r="F55" s="30"/>
      <c r="G55" s="1"/>
    </row>
    <row r="56" spans="1:7" s="64" customFormat="1" ht="12" customHeight="1">
      <c r="A56" s="39"/>
      <c r="B56" s="63" t="s">
        <v>427</v>
      </c>
      <c r="C56" s="312" t="s">
        <v>41</v>
      </c>
      <c r="D56" s="32">
        <f>(4.98*2.7)-((1.5*2.1))</f>
        <v>10.296000000000001</v>
      </c>
      <c r="E56" s="29"/>
      <c r="F56" s="30"/>
      <c r="G56" s="1"/>
    </row>
    <row r="57" spans="1:7" s="64" customFormat="1" ht="12" customHeight="1">
      <c r="A57" s="39"/>
      <c r="B57" s="63" t="s">
        <v>428</v>
      </c>
      <c r="C57" s="312" t="s">
        <v>41</v>
      </c>
      <c r="D57" s="32">
        <f>(15.06*2.7)-((2*0.9*2.1)+(1.8*2.75))</f>
        <v>31.932000000000006</v>
      </c>
      <c r="E57" s="29"/>
      <c r="F57" s="30"/>
      <c r="G57" s="1"/>
    </row>
    <row r="58" spans="1:7" s="64" customFormat="1" ht="12" customHeight="1">
      <c r="A58" s="39"/>
      <c r="B58" s="63" t="s">
        <v>429</v>
      </c>
      <c r="C58" s="312" t="s">
        <v>41</v>
      </c>
      <c r="D58" s="32">
        <f>(3.64*2.7)-((0.9*2.1))</f>
        <v>7.9380000000000006</v>
      </c>
      <c r="E58" s="29"/>
      <c r="F58" s="30"/>
      <c r="G58" s="1"/>
    </row>
    <row r="59" spans="1:7" s="64" customFormat="1" ht="12" customHeight="1">
      <c r="A59" s="39"/>
      <c r="B59" s="63" t="s">
        <v>430</v>
      </c>
      <c r="C59" s="312" t="s">
        <v>41</v>
      </c>
      <c r="D59" s="32">
        <f>(4.7*2.7)-((1.5*2.1))</f>
        <v>9.5400000000000009</v>
      </c>
      <c r="E59" s="29"/>
      <c r="F59" s="30"/>
      <c r="G59" s="1"/>
    </row>
    <row r="60" spans="1:7" s="64" customFormat="1" ht="12" customHeight="1" thickBot="1">
      <c r="A60" s="39"/>
      <c r="B60" s="63"/>
      <c r="C60" s="24"/>
      <c r="D60" s="32"/>
      <c r="E60" s="57"/>
      <c r="F60" s="371"/>
      <c r="G60" s="1"/>
    </row>
    <row r="61" spans="1:7" ht="27" customHeight="1" thickTop="1" thickBot="1">
      <c r="A61" s="22"/>
      <c r="B61" s="66"/>
      <c r="C61" s="474" t="s">
        <v>52</v>
      </c>
      <c r="D61" s="475"/>
      <c r="E61" s="476"/>
      <c r="F61" s="51"/>
    </row>
    <row r="62" spans="1:7" ht="12.75" thickTop="1">
      <c r="A62" s="22"/>
      <c r="B62" s="66"/>
      <c r="C62" s="24"/>
      <c r="D62" s="378"/>
      <c r="E62" s="367"/>
      <c r="F62" s="379"/>
    </row>
    <row r="63" spans="1:7" s="89" customFormat="1" ht="20.100000000000001" customHeight="1">
      <c r="A63" s="348">
        <f>A46+0.1</f>
        <v>10.399999999999999</v>
      </c>
      <c r="B63" s="58" t="s">
        <v>53</v>
      </c>
      <c r="C63" s="17"/>
      <c r="D63" s="18"/>
      <c r="E63" s="369"/>
      <c r="F63" s="60"/>
    </row>
    <row r="64" spans="1:7" s="46" customFormat="1" ht="15" customHeight="1">
      <c r="A64" s="22"/>
      <c r="B64" s="61" t="s">
        <v>431</v>
      </c>
      <c r="C64" s="24"/>
      <c r="D64" s="32"/>
      <c r="E64" s="57"/>
      <c r="F64" s="30"/>
    </row>
    <row r="65" spans="1:6" s="64" customFormat="1" ht="12" customHeight="1">
      <c r="A65" s="39"/>
      <c r="B65" s="63" t="s">
        <v>432</v>
      </c>
      <c r="C65" s="24" t="s">
        <v>41</v>
      </c>
      <c r="D65" s="32">
        <v>1.57</v>
      </c>
      <c r="E65" s="29"/>
      <c r="F65" s="30"/>
    </row>
    <row r="66" spans="1:6" s="64" customFormat="1" ht="12" customHeight="1">
      <c r="A66" s="39"/>
      <c r="B66" s="63" t="s">
        <v>433</v>
      </c>
      <c r="C66" s="24" t="s">
        <v>41</v>
      </c>
      <c r="D66" s="32">
        <v>3.48</v>
      </c>
      <c r="E66" s="29"/>
      <c r="F66" s="30"/>
    </row>
    <row r="67" spans="1:6" s="64" customFormat="1" ht="12" customHeight="1">
      <c r="A67" s="39"/>
      <c r="B67" s="63" t="s">
        <v>434</v>
      </c>
      <c r="C67" s="24" t="s">
        <v>41</v>
      </c>
      <c r="D67" s="32">
        <v>3.23</v>
      </c>
      <c r="E67" s="29"/>
      <c r="F67" s="30"/>
    </row>
    <row r="68" spans="1:6" s="64" customFormat="1" ht="12" customHeight="1">
      <c r="A68" s="39"/>
      <c r="B68" s="63" t="s">
        <v>435</v>
      </c>
      <c r="C68" s="24" t="s">
        <v>41</v>
      </c>
      <c r="D68" s="32">
        <v>7.93</v>
      </c>
      <c r="E68" s="29"/>
      <c r="F68" s="30"/>
    </row>
    <row r="69" spans="1:6" s="64" customFormat="1" ht="12" customHeight="1">
      <c r="A69" s="301"/>
      <c r="B69" s="56" t="s">
        <v>33</v>
      </c>
      <c r="C69" s="44"/>
      <c r="D69" s="32"/>
      <c r="E69" s="369"/>
      <c r="F69" s="30"/>
    </row>
    <row r="70" spans="1:6" s="46" customFormat="1" ht="15" customHeight="1">
      <c r="A70" s="22"/>
      <c r="B70" s="61" t="s">
        <v>58</v>
      </c>
      <c r="C70" s="24"/>
      <c r="D70" s="32"/>
      <c r="E70" s="369"/>
      <c r="F70" s="30"/>
    </row>
    <row r="71" spans="1:6" s="64" customFormat="1" ht="12" customHeight="1">
      <c r="A71" s="39"/>
      <c r="B71" s="63" t="s">
        <v>420</v>
      </c>
      <c r="C71" s="24" t="s">
        <v>41</v>
      </c>
      <c r="D71" s="32">
        <v>32.68</v>
      </c>
      <c r="E71" s="29"/>
      <c r="F71" s="30"/>
    </row>
    <row r="72" spans="1:6" s="64" customFormat="1" ht="12" customHeight="1">
      <c r="A72" s="39"/>
      <c r="B72" s="63"/>
      <c r="C72" s="24"/>
      <c r="D72" s="32"/>
      <c r="E72" s="369"/>
      <c r="F72" s="371"/>
    </row>
    <row r="73" spans="1:6" s="64" customFormat="1" ht="15" customHeight="1">
      <c r="A73" s="39"/>
      <c r="B73" s="380" t="s">
        <v>436</v>
      </c>
      <c r="C73" s="24"/>
      <c r="D73" s="32"/>
      <c r="E73" s="369"/>
      <c r="F73" s="371"/>
    </row>
    <row r="74" spans="1:6" s="64" customFormat="1" ht="12" customHeight="1">
      <c r="A74" s="39"/>
      <c r="B74" s="63" t="s">
        <v>437</v>
      </c>
      <c r="C74" s="24" t="s">
        <v>41</v>
      </c>
      <c r="D74" s="32">
        <v>6.25</v>
      </c>
      <c r="E74" s="29"/>
      <c r="F74" s="30"/>
    </row>
    <row r="75" spans="1:6" s="64" customFormat="1" ht="12" customHeight="1">
      <c r="A75" s="39"/>
      <c r="B75" s="63" t="s">
        <v>438</v>
      </c>
      <c r="C75" s="24" t="s">
        <v>41</v>
      </c>
      <c r="D75" s="32">
        <v>11.02</v>
      </c>
      <c r="E75" s="29"/>
      <c r="F75" s="30"/>
    </row>
    <row r="76" spans="1:6" s="64" customFormat="1" ht="12" customHeight="1">
      <c r="A76" s="39"/>
      <c r="B76" s="63" t="s">
        <v>439</v>
      </c>
      <c r="C76" s="24" t="s">
        <v>41</v>
      </c>
      <c r="D76" s="32">
        <v>7.53</v>
      </c>
      <c r="E76" s="29"/>
      <c r="F76" s="30"/>
    </row>
    <row r="77" spans="1:6" s="64" customFormat="1" ht="12" customHeight="1">
      <c r="A77" s="39" t="s">
        <v>33</v>
      </c>
      <c r="B77" s="63" t="s">
        <v>440</v>
      </c>
      <c r="C77" s="24" t="s">
        <v>41</v>
      </c>
      <c r="D77" s="32">
        <v>14.03</v>
      </c>
      <c r="E77" s="29"/>
      <c r="F77" s="30"/>
    </row>
    <row r="78" spans="1:6" s="64" customFormat="1" ht="12" customHeight="1">
      <c r="A78" s="39"/>
      <c r="B78" s="63" t="s">
        <v>441</v>
      </c>
      <c r="C78" s="24" t="s">
        <v>41</v>
      </c>
      <c r="D78" s="32">
        <v>1.05</v>
      </c>
      <c r="E78" s="29"/>
      <c r="F78" s="30"/>
    </row>
    <row r="79" spans="1:6" s="46" customFormat="1">
      <c r="A79" s="39"/>
      <c r="B79" s="63" t="s">
        <v>442</v>
      </c>
      <c r="C79" s="24" t="s">
        <v>41</v>
      </c>
      <c r="D79" s="32">
        <v>11.31</v>
      </c>
      <c r="E79" s="29"/>
      <c r="F79" s="30"/>
    </row>
    <row r="80" spans="1:6" s="46" customFormat="1">
      <c r="A80" s="39"/>
      <c r="B80" s="63" t="s">
        <v>427</v>
      </c>
      <c r="C80" s="24" t="s">
        <v>41</v>
      </c>
      <c r="D80" s="32">
        <v>1.1299999999999999</v>
      </c>
      <c r="E80" s="29"/>
      <c r="F80" s="30"/>
    </row>
    <row r="81" spans="1:6" s="89" customFormat="1" ht="12.75">
      <c r="A81" s="39"/>
      <c r="B81" s="63" t="s">
        <v>443</v>
      </c>
      <c r="C81" s="24" t="s">
        <v>41</v>
      </c>
      <c r="D81" s="32">
        <v>12.9</v>
      </c>
      <c r="E81" s="29"/>
      <c r="F81" s="30"/>
    </row>
    <row r="82" spans="1:6" s="46" customFormat="1">
      <c r="A82" s="39"/>
      <c r="B82" s="63" t="s">
        <v>429</v>
      </c>
      <c r="C82" s="24" t="s">
        <v>41</v>
      </c>
      <c r="D82" s="32">
        <v>0.73</v>
      </c>
      <c r="E82" s="29"/>
      <c r="F82" s="30"/>
    </row>
    <row r="83" spans="1:6" s="64" customFormat="1" ht="15">
      <c r="A83" s="39"/>
      <c r="B83" s="63" t="s">
        <v>430</v>
      </c>
      <c r="C83" s="24" t="s">
        <v>41</v>
      </c>
      <c r="D83" s="32">
        <v>1.05</v>
      </c>
      <c r="E83" s="29"/>
      <c r="F83" s="30"/>
    </row>
    <row r="84" spans="1:6" s="64" customFormat="1" ht="12" customHeight="1" thickBot="1">
      <c r="A84" s="39"/>
      <c r="B84" s="63"/>
      <c r="C84" s="24"/>
      <c r="D84" s="32"/>
      <c r="E84" s="57"/>
      <c r="F84" s="371"/>
    </row>
    <row r="85" spans="1:6" s="64" customFormat="1" ht="27" customHeight="1" thickTop="1" thickBot="1">
      <c r="A85" s="90"/>
      <c r="B85" s="63" t="s">
        <v>33</v>
      </c>
      <c r="C85" s="474" t="str">
        <f>+B63</f>
        <v>FAUX PLAFOND</v>
      </c>
      <c r="D85" s="475"/>
      <c r="E85" s="476"/>
      <c r="F85" s="51"/>
    </row>
    <row r="86" spans="1:6" s="64" customFormat="1" ht="15" customHeight="1" thickTop="1" thickBot="1">
      <c r="A86" s="90"/>
      <c r="B86" s="63"/>
      <c r="C86" s="69"/>
      <c r="D86" s="53"/>
      <c r="E86" s="367"/>
      <c r="F86" s="371"/>
    </row>
    <row r="87" spans="1:6" ht="30" customHeight="1" thickTop="1" thickBot="1">
      <c r="A87" s="477" t="s">
        <v>63</v>
      </c>
      <c r="B87" s="478"/>
      <c r="C87" s="478"/>
      <c r="D87" s="478"/>
      <c r="E87" s="479"/>
      <c r="F87" s="102"/>
    </row>
    <row r="88" spans="1:6" ht="12.75" thickTop="1"/>
    <row r="90" spans="1:6">
      <c r="A90" s="107" t="s">
        <v>64</v>
      </c>
    </row>
    <row r="92" spans="1:6" ht="15">
      <c r="D92" s="480"/>
      <c r="E92" s="480"/>
      <c r="F92" s="110"/>
    </row>
    <row r="93" spans="1:6" ht="15">
      <c r="D93" s="111"/>
      <c r="E93" s="113"/>
      <c r="F93" s="299"/>
    </row>
  </sheetData>
  <mergeCells count="14">
    <mergeCell ref="E9:F9"/>
    <mergeCell ref="A1:F1"/>
    <mergeCell ref="A2:F2"/>
    <mergeCell ref="A3:F3"/>
    <mergeCell ref="A4:F4"/>
    <mergeCell ref="E8:F8"/>
    <mergeCell ref="A87:E87"/>
    <mergeCell ref="D92:E92"/>
    <mergeCell ref="E11:F11"/>
    <mergeCell ref="C32:E32"/>
    <mergeCell ref="B34:B38"/>
    <mergeCell ref="C44:E44"/>
    <mergeCell ref="C61:E61"/>
    <mergeCell ref="C85:E85"/>
  </mergeCells>
  <conditionalFormatting sqref="E10">
    <cfRule type="cellIs" dxfId="63" priority="4" operator="equal">
      <formula>0</formula>
    </cfRule>
  </conditionalFormatting>
  <conditionalFormatting sqref="E42">
    <cfRule type="cellIs" dxfId="62" priority="3" operator="equal">
      <formula>0</formula>
    </cfRule>
  </conditionalFormatting>
  <conditionalFormatting sqref="E48:E59">
    <cfRule type="cellIs" dxfId="61" priority="2" operator="equal">
      <formula>0</formula>
    </cfRule>
  </conditionalFormatting>
  <conditionalFormatting sqref="E65:E68 E71 E74:E83">
    <cfRule type="cellIs" dxfId="60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9972-9ED3-4ED2-967F-95FE1E687CE8}">
  <sheetPr codeName="Feuil74">
    <pageSetUpPr fitToPage="1"/>
  </sheetPr>
  <dimension ref="A1:F182"/>
  <sheetViews>
    <sheetView topLeftCell="A19" zoomScaleNormal="100" zoomScaleSheetLayoutView="115" workbookViewId="0">
      <selection activeCell="K39" sqref="K39"/>
    </sheetView>
  </sheetViews>
  <sheetFormatPr baseColWidth="10" defaultColWidth="11.42578125" defaultRowHeight="12"/>
  <cols>
    <col min="1" max="1" width="7.7109375" style="103" customWidth="1"/>
    <col min="2" max="2" width="46.7109375" style="104" customWidth="1"/>
    <col min="3" max="3" width="4.7109375" style="14" customWidth="1"/>
    <col min="4" max="4" width="11.7109375" style="47" customWidth="1"/>
    <col min="5" max="5" width="12.7109375" style="399" customWidth="1"/>
    <col min="6" max="6" width="17.7109375" style="106" customWidth="1"/>
    <col min="7" max="16384" width="11.42578125" style="14"/>
  </cols>
  <sheetData>
    <row r="1" spans="1:6" s="382" customFormat="1" ht="33.950000000000003" customHeight="1" thickTop="1" thickBot="1">
      <c r="A1" s="489" t="s">
        <v>444</v>
      </c>
      <c r="B1" s="490"/>
      <c r="C1" s="490"/>
      <c r="D1" s="490"/>
      <c r="E1" s="490"/>
      <c r="F1" s="491"/>
    </row>
    <row r="2" spans="1:6" customFormat="1" ht="33.950000000000003" customHeight="1" thickTop="1" thickBot="1">
      <c r="A2" s="492" t="s">
        <v>445</v>
      </c>
      <c r="B2" s="493"/>
      <c r="C2" s="493"/>
      <c r="D2" s="493"/>
      <c r="E2" s="493"/>
      <c r="F2" s="494"/>
    </row>
    <row r="3" spans="1:6" customFormat="1" ht="33.950000000000003" customHeight="1" thickTop="1" thickBot="1">
      <c r="A3" s="489" t="s">
        <v>446</v>
      </c>
      <c r="B3" s="490"/>
      <c r="C3" s="490"/>
      <c r="D3" s="490"/>
      <c r="E3" s="490"/>
      <c r="F3" s="491"/>
    </row>
    <row r="4" spans="1:6" customFormat="1" ht="33.950000000000003" customHeight="1" thickTop="1" thickBot="1">
      <c r="A4" s="495" t="s">
        <v>3</v>
      </c>
      <c r="B4" s="496"/>
      <c r="C4" s="496"/>
      <c r="D4" s="496"/>
      <c r="E4" s="496"/>
      <c r="F4" s="497"/>
    </row>
    <row r="5" spans="1:6" s="7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2" customHeight="1" thickTop="1">
      <c r="A6" s="8"/>
      <c r="B6" s="9"/>
      <c r="C6" s="10"/>
      <c r="D6" s="383"/>
      <c r="E6" s="384"/>
      <c r="F6" s="13"/>
    </row>
    <row r="7" spans="1:6" s="89" customFormat="1" ht="20.100000000000001" customHeight="1">
      <c r="A7" s="15">
        <v>10.1</v>
      </c>
      <c r="B7" s="385" t="s">
        <v>10</v>
      </c>
      <c r="C7" s="93"/>
      <c r="D7" s="386"/>
      <c r="E7" s="387"/>
      <c r="F7" s="388"/>
    </row>
    <row r="8" spans="1:6" customFormat="1" ht="12" customHeight="1">
      <c r="A8" s="22">
        <f>+A7+0.001</f>
        <v>10.100999999999999</v>
      </c>
      <c r="B8" s="23" t="s">
        <v>11</v>
      </c>
      <c r="C8" s="24" t="s">
        <v>12</v>
      </c>
      <c r="D8" s="25">
        <v>1</v>
      </c>
      <c r="E8" s="534" t="s">
        <v>15</v>
      </c>
      <c r="F8" s="535"/>
    </row>
    <row r="9" spans="1:6" customFormat="1" ht="24">
      <c r="A9" s="22">
        <f>+A8+0.001</f>
        <v>10.101999999999999</v>
      </c>
      <c r="B9" s="23" t="s">
        <v>14</v>
      </c>
      <c r="C9" s="24" t="s">
        <v>12</v>
      </c>
      <c r="D9" s="25">
        <v>1</v>
      </c>
      <c r="E9" s="534" t="s">
        <v>67</v>
      </c>
      <c r="F9" s="535"/>
    </row>
    <row r="10" spans="1:6" customFormat="1" ht="12" customHeight="1">
      <c r="A10" s="22">
        <f>+A9+0.001</f>
        <v>10.102999999999998</v>
      </c>
      <c r="B10" s="31" t="s">
        <v>16</v>
      </c>
      <c r="C10" s="24" t="s">
        <v>12</v>
      </c>
      <c r="D10" s="28">
        <v>1</v>
      </c>
      <c r="E10" s="29"/>
      <c r="F10" s="30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customFormat="1" ht="12" customHeight="1">
      <c r="A12" s="22"/>
      <c r="B12" s="27"/>
      <c r="C12" s="310"/>
      <c r="D12" s="389"/>
      <c r="E12" s="42"/>
      <c r="F12" s="359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19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25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28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30</v>
      </c>
      <c r="C25" s="41"/>
      <c r="D25" s="25"/>
      <c r="E25" s="42"/>
      <c r="F25" s="43"/>
    </row>
    <row r="26" spans="1:6" customFormat="1" ht="12" customHeight="1">
      <c r="A26" s="39"/>
      <c r="B26" s="40" t="s">
        <v>31</v>
      </c>
      <c r="C26" s="41"/>
      <c r="D26" s="25"/>
      <c r="E26" s="42"/>
      <c r="F26" s="43"/>
    </row>
    <row r="27" spans="1:6" customFormat="1" ht="12" customHeight="1">
      <c r="A27" s="39"/>
      <c r="B27" s="40" t="s">
        <v>32</v>
      </c>
      <c r="C27" s="41"/>
      <c r="D27" s="25"/>
      <c r="E27" s="42"/>
      <c r="F27" s="43"/>
    </row>
    <row r="28" spans="1:6" customFormat="1" ht="12" customHeight="1">
      <c r="A28" s="39"/>
      <c r="B28" s="40" t="s">
        <v>34</v>
      </c>
      <c r="C28" s="41"/>
      <c r="D28" s="25"/>
      <c r="E28" s="42"/>
      <c r="F28" s="43"/>
    </row>
    <row r="29" spans="1:6" customFormat="1" ht="12" customHeight="1">
      <c r="A29" s="39"/>
      <c r="B29" s="40" t="s">
        <v>35</v>
      </c>
      <c r="C29" s="41"/>
      <c r="D29" s="25"/>
      <c r="E29" s="42"/>
      <c r="F29" s="43"/>
    </row>
    <row r="30" spans="1:6" customFormat="1" ht="12" customHeight="1">
      <c r="A30" s="39"/>
      <c r="B30" s="40" t="s">
        <v>36</v>
      </c>
      <c r="C30" s="41"/>
      <c r="D30" s="25"/>
      <c r="E30" s="42"/>
      <c r="F30" s="43"/>
    </row>
    <row r="31" spans="1:6" ht="12" customHeight="1" thickBot="1">
      <c r="A31" s="22"/>
      <c r="B31" s="324"/>
      <c r="C31" s="310"/>
      <c r="D31" s="390"/>
      <c r="E31" s="391"/>
      <c r="F31" s="392"/>
    </row>
    <row r="32" spans="1:6" customFormat="1" ht="27" customHeight="1" thickTop="1" thickBot="1">
      <c r="A32" s="22"/>
      <c r="B32" s="66"/>
      <c r="C32" s="531" t="s">
        <v>10</v>
      </c>
      <c r="D32" s="532"/>
      <c r="E32" s="533"/>
      <c r="F32" s="51"/>
    </row>
    <row r="33" spans="1:6" ht="12" customHeight="1" thickTop="1" thickBot="1">
      <c r="A33" s="22"/>
      <c r="B33" s="393"/>
      <c r="C33" s="394"/>
      <c r="D33" s="53"/>
      <c r="E33" s="395"/>
      <c r="F33" s="379"/>
    </row>
    <row r="34" spans="1:6" customFormat="1" ht="12" customHeight="1" thickTop="1">
      <c r="A34" s="39"/>
      <c r="B34" s="483" t="s">
        <v>37</v>
      </c>
      <c r="C34" s="44"/>
      <c r="D34" s="32"/>
      <c r="E34" s="29"/>
      <c r="F34" s="26"/>
    </row>
    <row r="35" spans="1:6" customFormat="1" ht="12" customHeight="1">
      <c r="A35" s="39"/>
      <c r="B35" s="484"/>
      <c r="C35" s="44"/>
      <c r="D35" s="32"/>
      <c r="E35" s="29"/>
      <c r="F35" s="26"/>
    </row>
    <row r="36" spans="1:6" customFormat="1" ht="12" customHeight="1">
      <c r="A36" s="39"/>
      <c r="B36" s="484"/>
      <c r="C36" s="44"/>
      <c r="D36" s="32"/>
      <c r="E36" s="29"/>
      <c r="F36" s="26"/>
    </row>
    <row r="37" spans="1:6" customFormat="1" ht="12" customHeight="1">
      <c r="A37" s="39" t="s">
        <v>33</v>
      </c>
      <c r="B37" s="484"/>
      <c r="C37" s="44"/>
      <c r="D37" s="32"/>
      <c r="E37" s="29"/>
      <c r="F37" s="26"/>
    </row>
    <row r="38" spans="1:6" customFormat="1" ht="12" customHeight="1" thickBot="1">
      <c r="A38" s="39"/>
      <c r="B38" s="485"/>
      <c r="C38" s="44"/>
      <c r="D38" s="32"/>
      <c r="E38" s="29"/>
      <c r="F38" s="26"/>
    </row>
    <row r="39" spans="1:6" ht="12" customHeight="1" thickTop="1">
      <c r="A39" s="22"/>
      <c r="B39" s="68"/>
      <c r="C39" s="24"/>
      <c r="D39" s="32"/>
      <c r="E39" s="29"/>
      <c r="F39" s="30"/>
    </row>
    <row r="40" spans="1:6" s="89" customFormat="1" ht="20.100000000000001" customHeight="1">
      <c r="A40" s="348">
        <v>10.4</v>
      </c>
      <c r="B40" s="58" t="s">
        <v>53</v>
      </c>
      <c r="C40" s="93"/>
      <c r="D40" s="18"/>
      <c r="E40" s="369"/>
      <c r="F40" s="371"/>
    </row>
    <row r="41" spans="1:6" s="46" customFormat="1" ht="15" customHeight="1">
      <c r="A41" s="22"/>
      <c r="B41" s="61" t="s">
        <v>54</v>
      </c>
      <c r="C41" s="44"/>
      <c r="D41" s="32"/>
      <c r="E41" s="29"/>
      <c r="F41" s="30"/>
    </row>
    <row r="42" spans="1:6" s="64" customFormat="1" ht="12" customHeight="1">
      <c r="A42" s="39"/>
      <c r="B42" s="63" t="s">
        <v>91</v>
      </c>
      <c r="C42" s="24" t="s">
        <v>41</v>
      </c>
      <c r="D42" s="32">
        <v>6</v>
      </c>
      <c r="E42" s="29"/>
      <c r="F42" s="30"/>
    </row>
    <row r="43" spans="1:6" s="64" customFormat="1" ht="12" customHeight="1">
      <c r="A43" s="39"/>
      <c r="B43" s="396"/>
      <c r="C43" s="24"/>
      <c r="D43" s="32"/>
      <c r="E43" s="29"/>
      <c r="F43" s="30"/>
    </row>
    <row r="44" spans="1:6" s="46" customFormat="1" ht="15" customHeight="1">
      <c r="A44" s="22"/>
      <c r="B44" s="61" t="s">
        <v>132</v>
      </c>
      <c r="C44" s="24"/>
      <c r="D44" s="32"/>
      <c r="E44" s="29"/>
      <c r="F44" s="30"/>
    </row>
    <row r="45" spans="1:6" s="64" customFormat="1" ht="12" customHeight="1">
      <c r="A45" s="39" t="s">
        <v>33</v>
      </c>
      <c r="B45" s="23" t="s">
        <v>447</v>
      </c>
      <c r="C45" s="24" t="s">
        <v>41</v>
      </c>
      <c r="D45" s="32">
        <v>4</v>
      </c>
      <c r="E45" s="29"/>
      <c r="F45" s="30"/>
    </row>
    <row r="46" spans="1:6" s="64" customFormat="1" ht="12" customHeight="1">
      <c r="A46" s="39"/>
      <c r="B46" s="23" t="s">
        <v>448</v>
      </c>
      <c r="C46" s="24" t="s">
        <v>41</v>
      </c>
      <c r="D46" s="32">
        <v>4</v>
      </c>
      <c r="E46" s="29"/>
      <c r="F46" s="30"/>
    </row>
    <row r="47" spans="1:6" s="64" customFormat="1" ht="12" customHeight="1">
      <c r="A47" s="39"/>
      <c r="B47" s="23" t="s">
        <v>449</v>
      </c>
      <c r="C47" s="24" t="s">
        <v>41</v>
      </c>
      <c r="D47" s="32">
        <v>7.92</v>
      </c>
      <c r="E47" s="29"/>
      <c r="F47" s="30"/>
    </row>
    <row r="48" spans="1:6" s="64" customFormat="1" ht="12" customHeight="1">
      <c r="A48" s="39"/>
      <c r="B48" s="23" t="s">
        <v>450</v>
      </c>
      <c r="C48" s="24" t="s">
        <v>41</v>
      </c>
      <c r="D48" s="32">
        <v>12.95</v>
      </c>
      <c r="E48" s="29"/>
      <c r="F48" s="30"/>
    </row>
    <row r="49" spans="1:6" s="64" customFormat="1" ht="12" customHeight="1">
      <c r="A49" s="39"/>
      <c r="B49" s="396"/>
      <c r="C49" s="24"/>
      <c r="D49" s="32"/>
      <c r="E49" s="29"/>
      <c r="F49" s="30"/>
    </row>
    <row r="50" spans="1:6" s="46" customFormat="1" ht="15" customHeight="1">
      <c r="A50" s="22"/>
      <c r="B50" s="61" t="s">
        <v>58</v>
      </c>
      <c r="C50" s="24"/>
      <c r="D50" s="32"/>
      <c r="E50" s="29"/>
      <c r="F50" s="30"/>
    </row>
    <row r="51" spans="1:6" s="64" customFormat="1" ht="12" customHeight="1">
      <c r="A51" s="39"/>
      <c r="B51" s="23" t="s">
        <v>451</v>
      </c>
      <c r="C51" s="24" t="s">
        <v>41</v>
      </c>
      <c r="D51" s="32">
        <v>12</v>
      </c>
      <c r="E51" s="29"/>
      <c r="F51" s="30"/>
    </row>
    <row r="52" spans="1:6" s="64" customFormat="1" ht="12" customHeight="1">
      <c r="A52" s="39"/>
      <c r="B52" s="23" t="s">
        <v>452</v>
      </c>
      <c r="C52" s="24" t="s">
        <v>41</v>
      </c>
      <c r="D52" s="32">
        <v>12</v>
      </c>
      <c r="E52" s="29"/>
      <c r="F52" s="30"/>
    </row>
    <row r="53" spans="1:6" s="64" customFormat="1" ht="12" customHeight="1" thickBot="1">
      <c r="A53" s="163"/>
      <c r="B53" s="397" t="s">
        <v>453</v>
      </c>
      <c r="C53" s="83" t="s">
        <v>41</v>
      </c>
      <c r="D53" s="77">
        <v>18</v>
      </c>
      <c r="E53" s="78"/>
      <c r="F53" s="79"/>
    </row>
    <row r="54" spans="1:6" s="64" customFormat="1" ht="12" customHeight="1" thickTop="1">
      <c r="A54" s="167"/>
      <c r="B54" s="398"/>
      <c r="C54" s="10"/>
      <c r="D54" s="11"/>
      <c r="E54" s="54"/>
      <c r="F54" s="13"/>
    </row>
    <row r="55" spans="1:6" s="46" customFormat="1" ht="15" customHeight="1">
      <c r="A55" s="22"/>
      <c r="B55" s="61" t="s">
        <v>141</v>
      </c>
      <c r="C55" s="24"/>
      <c r="D55" s="32"/>
      <c r="E55" s="12"/>
      <c r="F55" s="30"/>
    </row>
    <row r="56" spans="1:6" s="64" customFormat="1" ht="12" customHeight="1">
      <c r="A56" s="39"/>
      <c r="B56" s="23" t="s">
        <v>454</v>
      </c>
      <c r="C56" s="24" t="s">
        <v>41</v>
      </c>
      <c r="D56" s="32">
        <v>100</v>
      </c>
      <c r="E56" s="29"/>
      <c r="F56" s="30"/>
    </row>
    <row r="57" spans="1:6" s="64" customFormat="1" ht="12" customHeight="1">
      <c r="A57" s="39"/>
      <c r="B57" s="23" t="s">
        <v>119</v>
      </c>
      <c r="C57" s="24" t="s">
        <v>41</v>
      </c>
      <c r="D57" s="32">
        <v>60</v>
      </c>
      <c r="E57" s="29"/>
      <c r="F57" s="30"/>
    </row>
    <row r="58" spans="1:6" s="64" customFormat="1" ht="12" customHeight="1">
      <c r="A58" s="39"/>
      <c r="B58" s="23" t="s">
        <v>120</v>
      </c>
      <c r="C58" s="24" t="s">
        <v>41</v>
      </c>
      <c r="D58" s="32">
        <v>60</v>
      </c>
      <c r="E58" s="29"/>
      <c r="F58" s="30"/>
    </row>
    <row r="59" spans="1:6" s="64" customFormat="1" ht="12" customHeight="1">
      <c r="A59" s="39"/>
      <c r="B59" s="23" t="s">
        <v>455</v>
      </c>
      <c r="C59" s="24" t="s">
        <v>41</v>
      </c>
      <c r="D59" s="32">
        <v>60</v>
      </c>
      <c r="E59" s="29"/>
      <c r="F59" s="30"/>
    </row>
    <row r="60" spans="1:6" s="64" customFormat="1" ht="12" customHeight="1" thickBot="1">
      <c r="A60" s="39"/>
      <c r="B60" s="23"/>
      <c r="C60" s="24"/>
      <c r="D60" s="32"/>
      <c r="E60" s="57"/>
      <c r="F60" s="30"/>
    </row>
    <row r="61" spans="1:6" customFormat="1" ht="27" customHeight="1" thickTop="1" thickBot="1">
      <c r="A61" s="22"/>
      <c r="B61" s="66" t="s">
        <v>33</v>
      </c>
      <c r="C61" s="531" t="str">
        <f>+B40</f>
        <v>FAUX PLAFOND</v>
      </c>
      <c r="D61" s="532"/>
      <c r="E61" s="533"/>
      <c r="F61" s="51"/>
    </row>
    <row r="62" spans="1:6" s="46" customFormat="1" ht="12" customHeight="1" thickTop="1" thickBot="1">
      <c r="A62" s="90"/>
      <c r="B62" s="63"/>
      <c r="C62" s="69"/>
      <c r="D62" s="32"/>
      <c r="E62" s="57"/>
      <c r="F62" s="30"/>
    </row>
    <row r="63" spans="1:6" customFormat="1" ht="30" customHeight="1" thickTop="1" thickBot="1">
      <c r="A63" s="477" t="s">
        <v>63</v>
      </c>
      <c r="B63" s="478"/>
      <c r="C63" s="478"/>
      <c r="D63" s="478"/>
      <c r="E63" s="479"/>
      <c r="F63" s="102"/>
    </row>
    <row r="64" spans="1:6" ht="12" customHeight="1" thickTop="1"/>
    <row r="65" spans="1:6" ht="12" customHeight="1"/>
    <row r="66" spans="1:6">
      <c r="A66" s="107" t="s">
        <v>64</v>
      </c>
    </row>
    <row r="67" spans="1:6" ht="12" customHeight="1"/>
    <row r="68" spans="1:6" ht="12" customHeight="1">
      <c r="D68" s="14"/>
      <c r="E68" s="14"/>
      <c r="F68" s="14"/>
    </row>
    <row r="69" spans="1:6" ht="12" customHeight="1">
      <c r="D69" s="14"/>
      <c r="E69" s="14"/>
      <c r="F69" s="14"/>
    </row>
    <row r="70" spans="1:6" ht="12" customHeight="1">
      <c r="D70" s="14"/>
      <c r="E70" s="14"/>
      <c r="F70" s="14"/>
    </row>
    <row r="71" spans="1:6" ht="12" customHeight="1">
      <c r="D71" s="14"/>
      <c r="E71" s="14"/>
      <c r="F71" s="14"/>
    </row>
    <row r="72" spans="1:6" ht="12" customHeight="1">
      <c r="D72" s="14"/>
      <c r="E72" s="14"/>
      <c r="F72" s="14"/>
    </row>
    <row r="73" spans="1:6" s="103" customFormat="1" ht="12" customHeight="1">
      <c r="B73" s="104"/>
      <c r="C73" s="14"/>
      <c r="D73" s="14"/>
      <c r="E73" s="14"/>
      <c r="F73" s="14"/>
    </row>
    <row r="74" spans="1:6" s="103" customFormat="1" ht="12" customHeight="1">
      <c r="B74" s="104"/>
      <c r="C74" s="14"/>
      <c r="D74" s="14"/>
      <c r="E74" s="14"/>
      <c r="F74" s="14"/>
    </row>
    <row r="75" spans="1:6" s="103" customFormat="1" ht="12" customHeight="1">
      <c r="B75" s="104"/>
      <c r="C75" s="14"/>
      <c r="D75" s="47"/>
      <c r="E75" s="399"/>
      <c r="F75" s="106"/>
    </row>
    <row r="76" spans="1:6" s="103" customFormat="1" ht="12" customHeight="1">
      <c r="B76" s="104"/>
      <c r="C76" s="14"/>
      <c r="D76" s="47"/>
      <c r="E76" s="399"/>
      <c r="F76" s="106"/>
    </row>
    <row r="77" spans="1:6" s="103" customFormat="1" ht="12" customHeight="1">
      <c r="B77" s="104"/>
      <c r="C77" s="14"/>
      <c r="D77" s="47"/>
      <c r="E77" s="399"/>
      <c r="F77" s="106"/>
    </row>
    <row r="78" spans="1:6" s="103" customFormat="1" ht="12" customHeight="1">
      <c r="B78" s="104"/>
      <c r="C78" s="14"/>
      <c r="D78" s="47"/>
      <c r="E78" s="399"/>
      <c r="F78" s="106"/>
    </row>
    <row r="79" spans="1:6" s="103" customFormat="1" ht="12" customHeight="1">
      <c r="B79" s="104"/>
      <c r="C79" s="14"/>
      <c r="D79" s="47"/>
      <c r="E79" s="399"/>
      <c r="F79" s="106"/>
    </row>
    <row r="80" spans="1:6" s="103" customFormat="1" ht="12" customHeight="1">
      <c r="B80" s="104"/>
      <c r="C80" s="14"/>
      <c r="D80" s="47"/>
      <c r="E80" s="399"/>
      <c r="F80" s="106"/>
    </row>
    <row r="81" spans="2:6" s="103" customFormat="1" ht="12" customHeight="1">
      <c r="B81" s="104"/>
      <c r="C81" s="14"/>
      <c r="D81" s="47"/>
      <c r="E81" s="399"/>
      <c r="F81" s="106"/>
    </row>
    <row r="82" spans="2:6" s="103" customFormat="1" ht="12" customHeight="1">
      <c r="B82" s="104"/>
      <c r="C82" s="14"/>
      <c r="D82" s="47"/>
      <c r="E82" s="399"/>
      <c r="F82" s="106"/>
    </row>
    <row r="83" spans="2:6" s="103" customFormat="1" ht="12" customHeight="1">
      <c r="B83" s="104"/>
      <c r="C83" s="14"/>
      <c r="D83" s="47"/>
      <c r="E83" s="399"/>
      <c r="F83" s="106"/>
    </row>
    <row r="84" spans="2:6" s="103" customFormat="1" ht="12" customHeight="1">
      <c r="B84" s="104"/>
      <c r="C84" s="14"/>
      <c r="D84" s="47"/>
      <c r="E84" s="399"/>
      <c r="F84" s="106"/>
    </row>
    <row r="85" spans="2:6" s="103" customFormat="1" ht="12" customHeight="1">
      <c r="B85" s="104"/>
      <c r="C85" s="14"/>
      <c r="D85" s="47"/>
      <c r="E85" s="399"/>
      <c r="F85" s="106"/>
    </row>
    <row r="86" spans="2:6" s="103" customFormat="1" ht="12" customHeight="1">
      <c r="B86" s="104"/>
      <c r="C86" s="14"/>
      <c r="D86" s="47"/>
      <c r="E86" s="399"/>
      <c r="F86" s="106"/>
    </row>
    <row r="87" spans="2:6" s="103" customFormat="1" ht="12" customHeight="1">
      <c r="B87" s="104"/>
      <c r="C87" s="14"/>
      <c r="D87" s="47"/>
      <c r="E87" s="399"/>
      <c r="F87" s="106"/>
    </row>
    <row r="88" spans="2:6" s="103" customFormat="1" ht="12" customHeight="1">
      <c r="B88" s="104"/>
      <c r="C88" s="14"/>
      <c r="D88" s="47"/>
      <c r="E88" s="399"/>
      <c r="F88" s="106"/>
    </row>
    <row r="89" spans="2:6" s="103" customFormat="1" ht="12" customHeight="1">
      <c r="B89" s="104"/>
      <c r="C89" s="14"/>
      <c r="D89" s="47"/>
      <c r="E89" s="399"/>
      <c r="F89" s="106"/>
    </row>
    <row r="90" spans="2:6" s="103" customFormat="1" ht="12" customHeight="1">
      <c r="B90" s="104"/>
      <c r="C90" s="14"/>
      <c r="D90" s="47"/>
      <c r="E90" s="399"/>
      <c r="F90" s="106"/>
    </row>
    <row r="91" spans="2:6" s="103" customFormat="1" ht="12" customHeight="1">
      <c r="B91" s="104"/>
      <c r="C91" s="14"/>
      <c r="D91" s="47"/>
      <c r="E91" s="399"/>
      <c r="F91" s="106"/>
    </row>
    <row r="92" spans="2:6" s="103" customFormat="1" ht="12" customHeight="1">
      <c r="B92" s="104"/>
      <c r="C92" s="14"/>
      <c r="D92" s="47"/>
      <c r="E92" s="399"/>
      <c r="F92" s="106"/>
    </row>
    <row r="93" spans="2:6" s="103" customFormat="1" ht="12" customHeight="1">
      <c r="B93" s="104"/>
      <c r="C93" s="14"/>
      <c r="D93" s="47"/>
      <c r="E93" s="399"/>
      <c r="F93" s="106"/>
    </row>
    <row r="94" spans="2:6" s="103" customFormat="1" ht="12" customHeight="1">
      <c r="B94" s="104"/>
      <c r="C94" s="14"/>
      <c r="D94" s="47"/>
      <c r="E94" s="399"/>
      <c r="F94" s="106"/>
    </row>
    <row r="95" spans="2:6" s="103" customFormat="1" ht="12" customHeight="1">
      <c r="B95" s="104"/>
      <c r="C95" s="14"/>
      <c r="D95" s="47"/>
      <c r="E95" s="399"/>
      <c r="F95" s="106"/>
    </row>
    <row r="96" spans="2:6" s="103" customFormat="1" ht="12" customHeight="1">
      <c r="B96" s="104"/>
      <c r="C96" s="14"/>
      <c r="D96" s="47"/>
      <c r="E96" s="399"/>
      <c r="F96" s="106"/>
    </row>
    <row r="97" spans="2:6" s="103" customFormat="1" ht="12" customHeight="1">
      <c r="B97" s="104"/>
      <c r="C97" s="14"/>
      <c r="D97" s="47"/>
      <c r="E97" s="399"/>
      <c r="F97" s="106"/>
    </row>
    <row r="98" spans="2:6" s="103" customFormat="1" ht="12" customHeight="1">
      <c r="B98" s="104"/>
      <c r="C98" s="14"/>
      <c r="D98" s="47"/>
      <c r="E98" s="399"/>
      <c r="F98" s="106"/>
    </row>
    <row r="99" spans="2:6" s="103" customFormat="1" ht="12" customHeight="1">
      <c r="B99" s="104"/>
      <c r="C99" s="14"/>
      <c r="D99" s="47"/>
      <c r="E99" s="399"/>
      <c r="F99" s="106"/>
    </row>
    <row r="100" spans="2:6" s="103" customFormat="1" ht="12" customHeight="1">
      <c r="B100" s="104"/>
      <c r="C100" s="14"/>
      <c r="D100" s="47"/>
      <c r="E100" s="399"/>
      <c r="F100" s="106"/>
    </row>
    <row r="101" spans="2:6" s="103" customFormat="1" ht="12" customHeight="1">
      <c r="B101" s="104"/>
      <c r="C101" s="14"/>
      <c r="D101" s="47"/>
      <c r="E101" s="399"/>
      <c r="F101" s="106"/>
    </row>
    <row r="102" spans="2:6" s="103" customFormat="1" ht="12" customHeight="1">
      <c r="B102" s="104"/>
      <c r="C102" s="14"/>
      <c r="D102" s="47"/>
      <c r="E102" s="399"/>
      <c r="F102" s="106"/>
    </row>
    <row r="103" spans="2:6" s="103" customFormat="1" ht="12" customHeight="1">
      <c r="B103" s="104"/>
      <c r="C103" s="14"/>
      <c r="D103" s="47"/>
      <c r="E103" s="399"/>
      <c r="F103" s="106"/>
    </row>
    <row r="104" spans="2:6" s="103" customFormat="1" ht="12" customHeight="1">
      <c r="B104" s="104"/>
      <c r="C104" s="14"/>
      <c r="D104" s="47"/>
      <c r="E104" s="399"/>
      <c r="F104" s="106"/>
    </row>
    <row r="105" spans="2:6" s="103" customFormat="1" ht="12" customHeight="1">
      <c r="B105" s="104"/>
      <c r="C105" s="14"/>
      <c r="D105" s="47"/>
      <c r="E105" s="399"/>
      <c r="F105" s="106"/>
    </row>
    <row r="106" spans="2:6" s="103" customFormat="1" ht="12" customHeight="1">
      <c r="B106" s="104"/>
      <c r="C106" s="14"/>
      <c r="D106" s="47"/>
      <c r="E106" s="399"/>
      <c r="F106" s="106"/>
    </row>
    <row r="107" spans="2:6" s="103" customFormat="1" ht="12" customHeight="1">
      <c r="B107" s="104"/>
      <c r="C107" s="14"/>
      <c r="D107" s="47"/>
      <c r="E107" s="399"/>
      <c r="F107" s="106"/>
    </row>
    <row r="108" spans="2:6" s="103" customFormat="1" ht="12" customHeight="1">
      <c r="B108" s="104"/>
      <c r="C108" s="14"/>
      <c r="D108" s="47"/>
      <c r="E108" s="399"/>
      <c r="F108" s="106"/>
    </row>
    <row r="109" spans="2:6" s="103" customFormat="1" ht="12" customHeight="1">
      <c r="B109" s="104"/>
      <c r="C109" s="14"/>
      <c r="D109" s="47"/>
      <c r="E109" s="399"/>
      <c r="F109" s="106"/>
    </row>
    <row r="110" spans="2:6" s="103" customFormat="1" ht="12" customHeight="1">
      <c r="B110" s="104"/>
      <c r="C110" s="14"/>
      <c r="D110" s="47"/>
      <c r="E110" s="399"/>
      <c r="F110" s="106"/>
    </row>
    <row r="111" spans="2:6" s="103" customFormat="1" ht="12" customHeight="1">
      <c r="B111" s="104"/>
      <c r="C111" s="14"/>
      <c r="D111" s="47"/>
      <c r="E111" s="399"/>
      <c r="F111" s="106"/>
    </row>
    <row r="112" spans="2:6" s="103" customFormat="1" ht="12" customHeight="1">
      <c r="B112" s="104"/>
      <c r="C112" s="14"/>
      <c r="D112" s="47"/>
      <c r="E112" s="399"/>
      <c r="F112" s="106"/>
    </row>
    <row r="113" spans="2:6" s="103" customFormat="1" ht="12" customHeight="1">
      <c r="B113" s="104"/>
      <c r="C113" s="14"/>
      <c r="D113" s="47"/>
      <c r="E113" s="399"/>
      <c r="F113" s="106"/>
    </row>
    <row r="114" spans="2:6" s="103" customFormat="1" ht="12" customHeight="1">
      <c r="B114" s="104"/>
      <c r="C114" s="14"/>
      <c r="D114" s="47"/>
      <c r="E114" s="399"/>
      <c r="F114" s="106"/>
    </row>
    <row r="115" spans="2:6" s="103" customFormat="1" ht="12" customHeight="1">
      <c r="B115" s="104"/>
      <c r="C115" s="14"/>
      <c r="D115" s="47"/>
      <c r="E115" s="399"/>
      <c r="F115" s="106"/>
    </row>
    <row r="116" spans="2:6" s="103" customFormat="1" ht="12" customHeight="1">
      <c r="B116" s="104"/>
      <c r="C116" s="14"/>
      <c r="D116" s="47"/>
      <c r="E116" s="399"/>
      <c r="F116" s="106"/>
    </row>
    <row r="117" spans="2:6" s="103" customFormat="1" ht="12" customHeight="1">
      <c r="B117" s="104"/>
      <c r="C117" s="14"/>
      <c r="D117" s="47"/>
      <c r="E117" s="399"/>
      <c r="F117" s="106"/>
    </row>
    <row r="118" spans="2:6" s="103" customFormat="1" ht="12" customHeight="1">
      <c r="B118" s="104"/>
      <c r="C118" s="14"/>
      <c r="D118" s="47"/>
      <c r="E118" s="399"/>
      <c r="F118" s="106"/>
    </row>
    <row r="119" spans="2:6" s="103" customFormat="1" ht="12" customHeight="1">
      <c r="B119" s="104"/>
      <c r="C119" s="14"/>
      <c r="D119" s="47"/>
      <c r="E119" s="399"/>
      <c r="F119" s="106"/>
    </row>
    <row r="120" spans="2:6" s="103" customFormat="1" ht="12" customHeight="1">
      <c r="B120" s="104"/>
      <c r="C120" s="14"/>
      <c r="D120" s="47"/>
      <c r="E120" s="399"/>
      <c r="F120" s="106"/>
    </row>
    <row r="121" spans="2:6" s="103" customFormat="1" ht="12" customHeight="1">
      <c r="B121" s="104"/>
      <c r="C121" s="14"/>
      <c r="D121" s="47"/>
      <c r="E121" s="399"/>
      <c r="F121" s="106"/>
    </row>
    <row r="122" spans="2:6" s="103" customFormat="1" ht="12" customHeight="1">
      <c r="B122" s="104"/>
      <c r="C122" s="14"/>
      <c r="D122" s="47"/>
      <c r="E122" s="399"/>
      <c r="F122" s="106"/>
    </row>
    <row r="123" spans="2:6" s="103" customFormat="1" ht="12" customHeight="1">
      <c r="B123" s="104"/>
      <c r="C123" s="14"/>
      <c r="D123" s="47"/>
      <c r="E123" s="399"/>
      <c r="F123" s="106"/>
    </row>
    <row r="124" spans="2:6" s="103" customFormat="1" ht="12" customHeight="1">
      <c r="B124" s="104"/>
      <c r="C124" s="14"/>
      <c r="D124" s="47"/>
      <c r="E124" s="399"/>
      <c r="F124" s="106"/>
    </row>
    <row r="125" spans="2:6" s="103" customFormat="1" ht="12" customHeight="1">
      <c r="B125" s="104"/>
      <c r="C125" s="14"/>
      <c r="D125" s="47"/>
      <c r="E125" s="399"/>
      <c r="F125" s="106"/>
    </row>
    <row r="126" spans="2:6" s="103" customFormat="1" ht="12" customHeight="1">
      <c r="B126" s="104"/>
      <c r="C126" s="14"/>
      <c r="D126" s="47"/>
      <c r="E126" s="399"/>
      <c r="F126" s="106"/>
    </row>
    <row r="127" spans="2:6" s="103" customFormat="1" ht="12" customHeight="1">
      <c r="B127" s="104"/>
      <c r="C127" s="14"/>
      <c r="D127" s="47"/>
      <c r="E127" s="399"/>
      <c r="F127" s="106"/>
    </row>
    <row r="128" spans="2:6" s="103" customFormat="1" ht="12" customHeight="1">
      <c r="B128" s="104"/>
      <c r="C128" s="14"/>
      <c r="D128" s="47"/>
      <c r="E128" s="399"/>
      <c r="F128" s="106"/>
    </row>
    <row r="129" spans="2:6" s="103" customFormat="1" ht="12" customHeight="1">
      <c r="B129" s="104"/>
      <c r="C129" s="14"/>
      <c r="D129" s="47"/>
      <c r="E129" s="399"/>
      <c r="F129" s="106"/>
    </row>
    <row r="130" spans="2:6" s="103" customFormat="1" ht="12" customHeight="1">
      <c r="B130" s="104"/>
      <c r="C130" s="14"/>
      <c r="D130" s="47"/>
      <c r="E130" s="399"/>
      <c r="F130" s="106"/>
    </row>
    <row r="131" spans="2:6" s="103" customFormat="1" ht="12" customHeight="1">
      <c r="B131" s="104"/>
      <c r="C131" s="14"/>
      <c r="D131" s="47"/>
      <c r="E131" s="399"/>
      <c r="F131" s="106"/>
    </row>
    <row r="132" spans="2:6" s="103" customFormat="1" ht="12" customHeight="1">
      <c r="B132" s="104"/>
      <c r="C132" s="14"/>
      <c r="D132" s="47"/>
      <c r="E132" s="399"/>
      <c r="F132" s="106"/>
    </row>
    <row r="133" spans="2:6" s="103" customFormat="1" ht="12" customHeight="1">
      <c r="B133" s="104"/>
      <c r="C133" s="14"/>
      <c r="D133" s="47"/>
      <c r="E133" s="399"/>
      <c r="F133" s="106"/>
    </row>
    <row r="134" spans="2:6" s="103" customFormat="1" ht="12" customHeight="1">
      <c r="B134" s="104"/>
      <c r="C134" s="14"/>
      <c r="D134" s="47"/>
      <c r="E134" s="399"/>
      <c r="F134" s="106"/>
    </row>
    <row r="135" spans="2:6" s="103" customFormat="1" ht="12" customHeight="1">
      <c r="B135" s="104"/>
      <c r="C135" s="14"/>
      <c r="D135" s="47"/>
      <c r="E135" s="399"/>
      <c r="F135" s="106"/>
    </row>
    <row r="136" spans="2:6" s="103" customFormat="1" ht="12" customHeight="1">
      <c r="B136" s="104"/>
      <c r="C136" s="14"/>
      <c r="D136" s="47"/>
      <c r="E136" s="399"/>
      <c r="F136" s="106"/>
    </row>
    <row r="137" spans="2:6" s="103" customFormat="1" ht="12" customHeight="1">
      <c r="B137" s="104"/>
      <c r="C137" s="14"/>
      <c r="D137" s="47"/>
      <c r="E137" s="399"/>
      <c r="F137" s="106"/>
    </row>
    <row r="138" spans="2:6" s="103" customFormat="1" ht="12" customHeight="1">
      <c r="B138" s="104"/>
      <c r="C138" s="14"/>
      <c r="D138" s="47"/>
      <c r="E138" s="399"/>
      <c r="F138" s="106"/>
    </row>
    <row r="139" spans="2:6" s="103" customFormat="1" ht="12" customHeight="1">
      <c r="B139" s="104"/>
      <c r="C139" s="14"/>
      <c r="D139" s="47"/>
      <c r="E139" s="399"/>
      <c r="F139" s="106"/>
    </row>
    <row r="140" spans="2:6" s="103" customFormat="1" ht="12" customHeight="1">
      <c r="B140" s="104"/>
      <c r="C140" s="14"/>
      <c r="D140" s="47"/>
      <c r="E140" s="399"/>
      <c r="F140" s="106"/>
    </row>
    <row r="141" spans="2:6" s="103" customFormat="1" ht="12" customHeight="1">
      <c r="B141" s="104"/>
      <c r="C141" s="14"/>
      <c r="D141" s="47"/>
      <c r="E141" s="399"/>
      <c r="F141" s="106"/>
    </row>
    <row r="142" spans="2:6" s="103" customFormat="1" ht="12" customHeight="1">
      <c r="B142" s="104"/>
      <c r="C142" s="14"/>
      <c r="D142" s="47"/>
      <c r="E142" s="399"/>
      <c r="F142" s="106"/>
    </row>
    <row r="143" spans="2:6" s="103" customFormat="1" ht="12" customHeight="1">
      <c r="B143" s="104"/>
      <c r="C143" s="14"/>
      <c r="D143" s="47"/>
      <c r="E143" s="399"/>
      <c r="F143" s="106"/>
    </row>
    <row r="144" spans="2:6" s="103" customFormat="1" ht="12" customHeight="1">
      <c r="B144" s="104"/>
      <c r="C144" s="14"/>
      <c r="D144" s="47"/>
      <c r="E144" s="399"/>
      <c r="F144" s="106"/>
    </row>
    <row r="145" spans="2:6" s="103" customFormat="1" ht="12" customHeight="1">
      <c r="B145" s="104"/>
      <c r="C145" s="14"/>
      <c r="D145" s="47"/>
      <c r="E145" s="399"/>
      <c r="F145" s="106"/>
    </row>
    <row r="146" spans="2:6" s="103" customFormat="1" ht="12" customHeight="1">
      <c r="B146" s="104"/>
      <c r="C146" s="14"/>
      <c r="D146" s="47"/>
      <c r="E146" s="399"/>
      <c r="F146" s="106"/>
    </row>
    <row r="147" spans="2:6" s="103" customFormat="1" ht="12" customHeight="1">
      <c r="B147" s="104"/>
      <c r="C147" s="14"/>
      <c r="D147" s="47"/>
      <c r="E147" s="399"/>
      <c r="F147" s="106"/>
    </row>
    <row r="148" spans="2:6" s="103" customFormat="1" ht="12" customHeight="1">
      <c r="B148" s="104"/>
      <c r="C148" s="14"/>
      <c r="D148" s="47"/>
      <c r="E148" s="399"/>
      <c r="F148" s="106"/>
    </row>
    <row r="149" spans="2:6" s="103" customFormat="1" ht="12" customHeight="1">
      <c r="B149" s="104"/>
      <c r="C149" s="14"/>
      <c r="D149" s="47"/>
      <c r="E149" s="399"/>
      <c r="F149" s="106"/>
    </row>
    <row r="150" spans="2:6" s="103" customFormat="1" ht="12" customHeight="1">
      <c r="B150" s="104"/>
      <c r="C150" s="14"/>
      <c r="D150" s="47"/>
      <c r="E150" s="399"/>
      <c r="F150" s="106"/>
    </row>
    <row r="151" spans="2:6" s="103" customFormat="1" ht="12" customHeight="1">
      <c r="B151" s="104"/>
      <c r="C151" s="14"/>
      <c r="D151" s="47"/>
      <c r="E151" s="399"/>
      <c r="F151" s="106"/>
    </row>
    <row r="152" spans="2:6" s="103" customFormat="1" ht="12" customHeight="1">
      <c r="B152" s="104"/>
      <c r="C152" s="14"/>
      <c r="D152" s="47"/>
      <c r="E152" s="399"/>
      <c r="F152" s="106"/>
    </row>
    <row r="153" spans="2:6" s="103" customFormat="1" ht="12" customHeight="1">
      <c r="B153" s="104"/>
      <c r="C153" s="14"/>
      <c r="D153" s="47"/>
      <c r="E153" s="399"/>
      <c r="F153" s="106"/>
    </row>
    <row r="154" spans="2:6" s="103" customFormat="1" ht="12" customHeight="1">
      <c r="B154" s="104"/>
      <c r="C154" s="14"/>
      <c r="D154" s="47"/>
      <c r="E154" s="399"/>
      <c r="F154" s="106"/>
    </row>
    <row r="155" spans="2:6" s="103" customFormat="1" ht="12" customHeight="1">
      <c r="B155" s="104"/>
      <c r="C155" s="14"/>
      <c r="D155" s="47"/>
      <c r="E155" s="399"/>
      <c r="F155" s="106"/>
    </row>
    <row r="156" spans="2:6" s="103" customFormat="1" ht="12" customHeight="1">
      <c r="B156" s="104"/>
      <c r="C156" s="14"/>
      <c r="D156" s="47"/>
      <c r="E156" s="399"/>
      <c r="F156" s="106"/>
    </row>
    <row r="157" spans="2:6" s="103" customFormat="1" ht="12" customHeight="1">
      <c r="B157" s="104"/>
      <c r="C157" s="14"/>
      <c r="D157" s="47"/>
      <c r="E157" s="399"/>
      <c r="F157" s="106"/>
    </row>
    <row r="158" spans="2:6" s="103" customFormat="1" ht="12" customHeight="1">
      <c r="B158" s="104"/>
      <c r="C158" s="14"/>
      <c r="D158" s="47"/>
      <c r="E158" s="399"/>
      <c r="F158" s="106"/>
    </row>
    <row r="159" spans="2:6" s="103" customFormat="1" ht="12" customHeight="1">
      <c r="B159" s="104"/>
      <c r="C159" s="14"/>
      <c r="D159" s="47"/>
      <c r="E159" s="399"/>
      <c r="F159" s="106"/>
    </row>
    <row r="160" spans="2:6" s="103" customFormat="1" ht="12" customHeight="1">
      <c r="B160" s="104"/>
      <c r="C160" s="14"/>
      <c r="D160" s="47"/>
      <c r="E160" s="399"/>
      <c r="F160" s="106"/>
    </row>
    <row r="161" spans="2:6" s="103" customFormat="1" ht="12" customHeight="1">
      <c r="B161" s="104"/>
      <c r="C161" s="14"/>
      <c r="D161" s="47"/>
      <c r="E161" s="399"/>
      <c r="F161" s="106"/>
    </row>
    <row r="162" spans="2:6" s="103" customFormat="1" ht="12" customHeight="1">
      <c r="B162" s="104"/>
      <c r="C162" s="14"/>
      <c r="D162" s="47"/>
      <c r="E162" s="399"/>
      <c r="F162" s="106"/>
    </row>
    <row r="163" spans="2:6" s="103" customFormat="1" ht="12" customHeight="1">
      <c r="B163" s="104"/>
      <c r="C163" s="14"/>
      <c r="D163" s="47"/>
      <c r="E163" s="399"/>
      <c r="F163" s="106"/>
    </row>
    <row r="164" spans="2:6" s="103" customFormat="1" ht="12" customHeight="1">
      <c r="B164" s="104"/>
      <c r="C164" s="14"/>
      <c r="D164" s="47"/>
      <c r="E164" s="399"/>
      <c r="F164" s="106"/>
    </row>
    <row r="165" spans="2:6" s="103" customFormat="1" ht="12" customHeight="1">
      <c r="B165" s="104"/>
      <c r="C165" s="14"/>
      <c r="D165" s="47"/>
      <c r="E165" s="399"/>
      <c r="F165" s="106"/>
    </row>
    <row r="166" spans="2:6" s="103" customFormat="1" ht="12" customHeight="1">
      <c r="B166" s="104"/>
      <c r="C166" s="14"/>
      <c r="D166" s="47"/>
      <c r="E166" s="399"/>
      <c r="F166" s="106"/>
    </row>
    <row r="167" spans="2:6" s="103" customFormat="1" ht="12" customHeight="1">
      <c r="B167" s="104"/>
      <c r="C167" s="14"/>
      <c r="D167" s="47"/>
      <c r="E167" s="399"/>
      <c r="F167" s="106"/>
    </row>
    <row r="168" spans="2:6" s="103" customFormat="1" ht="12" customHeight="1">
      <c r="B168" s="104"/>
      <c r="C168" s="14"/>
      <c r="D168" s="47"/>
      <c r="E168" s="399"/>
      <c r="F168" s="106"/>
    </row>
    <row r="169" spans="2:6" s="103" customFormat="1" ht="12" customHeight="1">
      <c r="B169" s="104"/>
      <c r="C169" s="14"/>
      <c r="D169" s="47"/>
      <c r="E169" s="399"/>
      <c r="F169" s="106"/>
    </row>
    <row r="170" spans="2:6" s="103" customFormat="1" ht="12" customHeight="1">
      <c r="B170" s="104"/>
      <c r="C170" s="14"/>
      <c r="D170" s="47"/>
      <c r="E170" s="399"/>
      <c r="F170" s="106"/>
    </row>
    <row r="171" spans="2:6" s="103" customFormat="1" ht="12" customHeight="1">
      <c r="B171" s="104"/>
      <c r="C171" s="14"/>
      <c r="D171" s="47"/>
      <c r="E171" s="399"/>
      <c r="F171" s="106"/>
    </row>
    <row r="172" spans="2:6" s="103" customFormat="1" ht="12" customHeight="1">
      <c r="B172" s="104"/>
      <c r="C172" s="14"/>
      <c r="D172" s="47"/>
      <c r="E172" s="399"/>
      <c r="F172" s="106"/>
    </row>
    <row r="173" spans="2:6" s="103" customFormat="1" ht="12" customHeight="1">
      <c r="B173" s="104"/>
      <c r="C173" s="14"/>
      <c r="D173" s="47"/>
      <c r="E173" s="399"/>
      <c r="F173" s="106"/>
    </row>
    <row r="174" spans="2:6" s="103" customFormat="1" ht="12" customHeight="1">
      <c r="B174" s="104"/>
      <c r="C174" s="14"/>
      <c r="D174" s="47"/>
      <c r="E174" s="399"/>
      <c r="F174" s="106"/>
    </row>
    <row r="175" spans="2:6" s="103" customFormat="1" ht="12" customHeight="1">
      <c r="B175" s="104"/>
      <c r="C175" s="14"/>
      <c r="D175" s="47"/>
      <c r="E175" s="399"/>
      <c r="F175" s="106"/>
    </row>
    <row r="176" spans="2:6" s="103" customFormat="1" ht="12" customHeight="1">
      <c r="B176" s="104"/>
      <c r="C176" s="14"/>
      <c r="D176" s="47"/>
      <c r="E176" s="399"/>
      <c r="F176" s="106"/>
    </row>
    <row r="177" spans="2:6" s="103" customFormat="1" ht="12" customHeight="1">
      <c r="B177" s="104"/>
      <c r="C177" s="14"/>
      <c r="D177" s="47"/>
      <c r="E177" s="399"/>
      <c r="F177" s="106"/>
    </row>
    <row r="178" spans="2:6" s="103" customFormat="1" ht="12" customHeight="1">
      <c r="B178" s="104"/>
      <c r="C178" s="14"/>
      <c r="D178" s="47"/>
      <c r="E178" s="399"/>
      <c r="F178" s="106"/>
    </row>
    <row r="179" spans="2:6" s="103" customFormat="1" ht="12" customHeight="1">
      <c r="B179" s="104"/>
      <c r="C179" s="14"/>
      <c r="D179" s="47"/>
      <c r="E179" s="399"/>
      <c r="F179" s="106"/>
    </row>
    <row r="180" spans="2:6" s="103" customFormat="1" ht="12" customHeight="1">
      <c r="B180" s="104"/>
      <c r="C180" s="14"/>
      <c r="D180" s="47"/>
      <c r="E180" s="399"/>
      <c r="F180" s="106"/>
    </row>
    <row r="181" spans="2:6" s="103" customFormat="1" ht="12" customHeight="1">
      <c r="B181" s="104"/>
      <c r="C181" s="14"/>
      <c r="D181" s="47"/>
      <c r="E181" s="399"/>
      <c r="F181" s="106"/>
    </row>
    <row r="182" spans="2:6" s="103" customFormat="1" ht="12" customHeight="1">
      <c r="B182" s="104"/>
      <c r="C182" s="14"/>
      <c r="D182" s="47"/>
      <c r="E182" s="399"/>
      <c r="F182" s="106"/>
    </row>
  </sheetData>
  <mergeCells count="11">
    <mergeCell ref="E9:F9"/>
    <mergeCell ref="A1:F1"/>
    <mergeCell ref="A2:F2"/>
    <mergeCell ref="A3:F3"/>
    <mergeCell ref="A4:F4"/>
    <mergeCell ref="E8:F8"/>
    <mergeCell ref="E11:F11"/>
    <mergeCell ref="C32:E32"/>
    <mergeCell ref="B34:B38"/>
    <mergeCell ref="C61:E61"/>
    <mergeCell ref="A63:E63"/>
  </mergeCells>
  <conditionalFormatting sqref="E10">
    <cfRule type="cellIs" dxfId="59" priority="2" operator="equal">
      <formula>0</formula>
    </cfRule>
  </conditionalFormatting>
  <conditionalFormatting sqref="E42 E45:E48 E51:E53 E56:E59">
    <cfRule type="cellIs" dxfId="58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3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1A228-1E59-4EA8-9BB4-06889568589F}">
  <sheetPr codeName="Feuil75">
    <pageSetUpPr fitToPage="1"/>
  </sheetPr>
  <dimension ref="A1:F110"/>
  <sheetViews>
    <sheetView topLeftCell="A4" zoomScale="85" zoomScaleNormal="85" zoomScaleSheetLayoutView="85" workbookViewId="0">
      <selection activeCell="L32" sqref="L32"/>
    </sheetView>
  </sheetViews>
  <sheetFormatPr baseColWidth="10" defaultColWidth="11.42578125" defaultRowHeight="12"/>
  <cols>
    <col min="1" max="1" width="9" style="103" customWidth="1"/>
    <col min="2" max="2" width="50.7109375" style="104" customWidth="1"/>
    <col min="3" max="3" width="4.7109375" style="14" customWidth="1"/>
    <col min="4" max="4" width="11.7109375" style="47" customWidth="1"/>
    <col min="5" max="5" width="12.7109375" style="105" customWidth="1"/>
    <col min="6" max="6" width="17.7109375" style="195" customWidth="1"/>
    <col min="7" max="16384" width="11.42578125" style="14"/>
  </cols>
  <sheetData>
    <row r="1" spans="1:6" customFormat="1" ht="33.950000000000003" customHeight="1" thickTop="1" thickBot="1">
      <c r="A1" s="489" t="s">
        <v>65</v>
      </c>
      <c r="B1" s="490"/>
      <c r="C1" s="490"/>
      <c r="D1" s="490"/>
      <c r="E1" s="490"/>
      <c r="F1" s="491"/>
    </row>
    <row r="2" spans="1:6" customFormat="1" ht="33.950000000000003" customHeight="1" thickTop="1" thickBot="1">
      <c r="A2" s="489" t="s">
        <v>1</v>
      </c>
      <c r="B2" s="490"/>
      <c r="C2" s="490"/>
      <c r="D2" s="490"/>
      <c r="E2" s="490"/>
      <c r="F2" s="491"/>
    </row>
    <row r="3" spans="1:6" customFormat="1" ht="33.950000000000003" customHeight="1" thickTop="1" thickBot="1">
      <c r="A3" s="489" t="s">
        <v>224</v>
      </c>
      <c r="B3" s="490"/>
      <c r="C3" s="490"/>
      <c r="D3" s="490"/>
      <c r="E3" s="490"/>
      <c r="F3" s="491"/>
    </row>
    <row r="4" spans="1:6" customFormat="1" ht="33.950000000000003" customHeight="1" thickTop="1" thickBot="1">
      <c r="A4" s="536" t="s">
        <v>456</v>
      </c>
      <c r="B4" s="537"/>
      <c r="C4" s="537"/>
      <c r="D4" s="537"/>
      <c r="E4" s="537"/>
      <c r="F4" s="538"/>
    </row>
    <row r="5" spans="1:6" customFormat="1" ht="24.95" customHeight="1" thickTop="1" thickBot="1">
      <c r="A5" s="2" t="s">
        <v>4</v>
      </c>
      <c r="B5" s="3" t="s">
        <v>5</v>
      </c>
      <c r="C5" s="3" t="s">
        <v>6</v>
      </c>
      <c r="D5" s="4" t="s">
        <v>7</v>
      </c>
      <c r="E5" s="5" t="s">
        <v>8</v>
      </c>
      <c r="F5" s="6" t="s">
        <v>9</v>
      </c>
    </row>
    <row r="6" spans="1:6" ht="13.5" thickTop="1">
      <c r="A6" s="8"/>
      <c r="B6" s="58"/>
      <c r="C6" s="10"/>
      <c r="D6" s="11"/>
      <c r="E6" s="12"/>
      <c r="F6" s="319"/>
    </row>
    <row r="7" spans="1:6" s="21" customFormat="1" ht="20.100000000000001" customHeight="1">
      <c r="A7" s="15">
        <v>10.1</v>
      </c>
      <c r="B7" s="58" t="s">
        <v>10</v>
      </c>
      <c r="C7" s="17"/>
      <c r="D7" s="18"/>
      <c r="E7" s="320"/>
      <c r="F7" s="321"/>
    </row>
    <row r="8" spans="1:6" s="322" customFormat="1">
      <c r="A8" s="304">
        <f>A7+0.001</f>
        <v>10.100999999999999</v>
      </c>
      <c r="B8" s="23" t="s">
        <v>11</v>
      </c>
      <c r="C8" s="24" t="s">
        <v>12</v>
      </c>
      <c r="D8" s="32">
        <v>1</v>
      </c>
      <c r="E8" s="481" t="s">
        <v>13</v>
      </c>
      <c r="F8" s="482"/>
    </row>
    <row r="9" spans="1:6" s="322" customFormat="1" ht="24.75" customHeight="1">
      <c r="A9" s="304">
        <f>A8+0.001</f>
        <v>10.101999999999999</v>
      </c>
      <c r="B9" s="23" t="s">
        <v>14</v>
      </c>
      <c r="C9" s="24" t="s">
        <v>12</v>
      </c>
      <c r="D9" s="32">
        <v>1</v>
      </c>
      <c r="E9" s="481" t="s">
        <v>15</v>
      </c>
      <c r="F9" s="482"/>
    </row>
    <row r="10" spans="1:6">
      <c r="A10" s="304">
        <f>A9+0.001</f>
        <v>10.102999999999998</v>
      </c>
      <c r="B10" s="27" t="s">
        <v>16</v>
      </c>
      <c r="C10" s="24" t="s">
        <v>12</v>
      </c>
      <c r="D10" s="28">
        <v>1</v>
      </c>
      <c r="E10" s="29"/>
      <c r="F10" s="30"/>
    </row>
    <row r="11" spans="1:6">
      <c r="A11" s="304">
        <f>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>
      <c r="A12" s="304"/>
      <c r="B12" s="23"/>
      <c r="C12" s="24"/>
      <c r="D12" s="323"/>
      <c r="E12" s="29"/>
      <c r="F12" s="26"/>
    </row>
    <row r="13" spans="1:6" customFormat="1" ht="12" customHeight="1">
      <c r="A13" s="39"/>
      <c r="B13" s="40" t="s">
        <v>18</v>
      </c>
      <c r="C13" s="41"/>
      <c r="D13" s="25"/>
      <c r="E13" s="42"/>
      <c r="F13" s="43"/>
    </row>
    <row r="14" spans="1:6" customFormat="1" ht="12" customHeight="1">
      <c r="A14" s="39"/>
      <c r="B14" s="40" t="s">
        <v>19</v>
      </c>
      <c r="C14" s="41"/>
      <c r="D14" s="25"/>
      <c r="E14" s="42"/>
      <c r="F14" s="43"/>
    </row>
    <row r="15" spans="1:6" customFormat="1" ht="12" customHeight="1">
      <c r="A15" s="39"/>
      <c r="B15" s="40" t="s">
        <v>20</v>
      </c>
      <c r="C15" s="41"/>
      <c r="D15" s="25"/>
      <c r="E15" s="42"/>
      <c r="F15" s="43"/>
    </row>
    <row r="16" spans="1:6" customFormat="1" ht="12" customHeight="1">
      <c r="A16" s="39"/>
      <c r="B16" s="40" t="s">
        <v>21</v>
      </c>
      <c r="C16" s="44"/>
      <c r="D16" s="32"/>
      <c r="E16" s="29"/>
      <c r="F16" s="26"/>
    </row>
    <row r="17" spans="1:6" customFormat="1" ht="12" customHeight="1">
      <c r="A17" s="39"/>
      <c r="B17" s="40" t="s">
        <v>22</v>
      </c>
      <c r="C17" s="41"/>
      <c r="D17" s="25"/>
      <c r="E17" s="42"/>
      <c r="F17" s="43"/>
    </row>
    <row r="18" spans="1:6" customFormat="1" ht="12" customHeight="1">
      <c r="A18" s="39"/>
      <c r="B18" s="40" t="s">
        <v>23</v>
      </c>
      <c r="C18" s="41"/>
      <c r="D18" s="25"/>
      <c r="E18" s="42"/>
      <c r="F18" s="43"/>
    </row>
    <row r="19" spans="1:6" customFormat="1" ht="12" customHeight="1">
      <c r="A19" s="39"/>
      <c r="B19" s="40" t="s">
        <v>24</v>
      </c>
      <c r="C19" s="41"/>
      <c r="D19" s="25"/>
      <c r="E19" s="42"/>
      <c r="F19" s="43"/>
    </row>
    <row r="20" spans="1:6" customFormat="1" ht="12" customHeight="1">
      <c r="A20" s="39"/>
      <c r="B20" s="40" t="s">
        <v>25</v>
      </c>
      <c r="C20" s="41"/>
      <c r="D20" s="25"/>
      <c r="E20" s="42"/>
      <c r="F20" s="43"/>
    </row>
    <row r="21" spans="1:6" customFormat="1" ht="12" customHeight="1">
      <c r="A21" s="39"/>
      <c r="B21" s="40" t="s">
        <v>26</v>
      </c>
      <c r="C21" s="41"/>
      <c r="D21" s="25"/>
      <c r="E21" s="42"/>
      <c r="F21" s="43"/>
    </row>
    <row r="22" spans="1:6" customFormat="1" ht="12" customHeight="1">
      <c r="A22" s="39"/>
      <c r="B22" s="40" t="s">
        <v>27</v>
      </c>
      <c r="C22" s="41"/>
      <c r="D22" s="25"/>
      <c r="E22" s="42"/>
      <c r="F22" s="43"/>
    </row>
    <row r="23" spans="1:6" customFormat="1" ht="12" customHeight="1">
      <c r="A23" s="39"/>
      <c r="B23" s="40" t="s">
        <v>28</v>
      </c>
      <c r="C23" s="41"/>
      <c r="D23" s="25"/>
      <c r="E23" s="42"/>
      <c r="F23" s="43"/>
    </row>
    <row r="24" spans="1:6" customFormat="1" ht="12" customHeight="1">
      <c r="A24" s="39"/>
      <c r="B24" s="40" t="s">
        <v>29</v>
      </c>
      <c r="C24" s="41"/>
      <c r="D24" s="25"/>
      <c r="E24" s="42"/>
      <c r="F24" s="43"/>
    </row>
    <row r="25" spans="1:6" customFormat="1" ht="12" customHeight="1">
      <c r="A25" s="39"/>
      <c r="B25" s="40" t="s">
        <v>30</v>
      </c>
      <c r="C25" s="41"/>
      <c r="D25" s="25"/>
      <c r="E25" s="42"/>
      <c r="F25" s="43"/>
    </row>
    <row r="26" spans="1:6" customFormat="1" ht="12" customHeight="1">
      <c r="A26" s="39"/>
      <c r="B26" s="40" t="s">
        <v>31</v>
      </c>
      <c r="C26" s="41"/>
      <c r="D26" s="25"/>
      <c r="E26" s="42"/>
      <c r="F26" s="43"/>
    </row>
    <row r="27" spans="1:6" customFormat="1" ht="12" customHeight="1">
      <c r="A27" s="39"/>
      <c r="B27" s="40" t="s">
        <v>32</v>
      </c>
      <c r="C27" s="41"/>
      <c r="D27" s="25"/>
      <c r="E27" s="42"/>
      <c r="F27" s="43"/>
    </row>
    <row r="28" spans="1:6" customFormat="1" ht="12" customHeight="1">
      <c r="A28" s="39"/>
      <c r="B28" s="40" t="s">
        <v>34</v>
      </c>
      <c r="C28" s="41"/>
      <c r="D28" s="25"/>
      <c r="E28" s="42"/>
      <c r="F28" s="43"/>
    </row>
    <row r="29" spans="1:6" customFormat="1" ht="12" customHeight="1">
      <c r="A29" s="39"/>
      <c r="B29" s="40" t="s">
        <v>35</v>
      </c>
      <c r="C29" s="41"/>
      <c r="D29" s="25"/>
      <c r="E29" s="42"/>
      <c r="F29" s="43"/>
    </row>
    <row r="30" spans="1:6" customFormat="1" ht="12" customHeight="1">
      <c r="A30" s="39"/>
      <c r="B30" s="40" t="s">
        <v>36</v>
      </c>
      <c r="C30" s="41"/>
      <c r="D30" s="25"/>
      <c r="E30" s="42"/>
      <c r="F30" s="43"/>
    </row>
    <row r="31" spans="1:6" ht="12.75" thickBot="1">
      <c r="A31" s="22"/>
      <c r="B31" s="324"/>
      <c r="C31" s="310"/>
      <c r="D31" s="25"/>
      <c r="E31" s="42"/>
      <c r="F31" s="43"/>
    </row>
    <row r="32" spans="1:6" ht="27" customHeight="1" thickTop="1" thickBot="1">
      <c r="A32" s="22"/>
      <c r="B32" s="50"/>
      <c r="C32" s="474" t="str">
        <f>+B7</f>
        <v>TRAVAUX PRELIMINAIRES</v>
      </c>
      <c r="D32" s="475"/>
      <c r="E32" s="476"/>
      <c r="F32" s="51"/>
    </row>
    <row r="33" spans="1:6" s="1" customFormat="1" ht="16.5" thickTop="1" thickBot="1">
      <c r="A33" s="39"/>
      <c r="B33" s="52"/>
      <c r="C33" s="44"/>
      <c r="D33" s="53"/>
      <c r="E33" s="54"/>
      <c r="F33" s="55"/>
    </row>
    <row r="34" spans="1:6" s="1" customFormat="1" ht="15.75" customHeight="1" thickTop="1">
      <c r="A34" s="39"/>
      <c r="B34" s="483" t="s">
        <v>37</v>
      </c>
      <c r="C34" s="44"/>
      <c r="D34" s="32"/>
      <c r="E34" s="29"/>
      <c r="F34" s="26"/>
    </row>
    <row r="35" spans="1:6" s="1" customFormat="1" ht="15">
      <c r="A35" s="39"/>
      <c r="B35" s="484"/>
      <c r="C35" s="44"/>
      <c r="D35" s="32"/>
      <c r="E35" s="29"/>
      <c r="F35" s="26"/>
    </row>
    <row r="36" spans="1:6" s="1" customFormat="1" ht="15">
      <c r="A36" s="39"/>
      <c r="B36" s="484"/>
      <c r="C36" s="44"/>
      <c r="D36" s="32"/>
      <c r="E36" s="29"/>
      <c r="F36" s="26"/>
    </row>
    <row r="37" spans="1:6" s="1" customFormat="1" ht="15" customHeight="1">
      <c r="A37" s="39" t="s">
        <v>33</v>
      </c>
      <c r="B37" s="484"/>
      <c r="C37" s="44"/>
      <c r="D37" s="32"/>
      <c r="E37" s="29"/>
      <c r="F37" s="26"/>
    </row>
    <row r="38" spans="1:6" s="1" customFormat="1" ht="15.75" thickBot="1">
      <c r="A38" s="39"/>
      <c r="B38" s="485"/>
      <c r="C38" s="44"/>
      <c r="D38" s="32"/>
      <c r="E38" s="29"/>
      <c r="F38" s="26"/>
    </row>
    <row r="39" spans="1:6" s="1" customFormat="1" ht="15.75" thickTop="1">
      <c r="A39" s="39"/>
      <c r="B39" s="56"/>
      <c r="C39" s="44"/>
      <c r="D39" s="32"/>
      <c r="E39" s="57"/>
      <c r="F39" s="30"/>
    </row>
    <row r="40" spans="1:6" s="21" customFormat="1" ht="20.100000000000001" customHeight="1">
      <c r="A40" s="15">
        <v>10.3</v>
      </c>
      <c r="B40" s="58" t="s">
        <v>42</v>
      </c>
      <c r="C40" s="17"/>
      <c r="D40" s="18"/>
      <c r="E40" s="320"/>
      <c r="F40" s="321"/>
    </row>
    <row r="41" spans="1:6" ht="15" customHeight="1">
      <c r="A41" s="22">
        <f>A40+0.001</f>
        <v>10.301</v>
      </c>
      <c r="B41" s="61" t="s">
        <v>43</v>
      </c>
      <c r="C41" s="69"/>
      <c r="D41" s="32"/>
      <c r="E41" s="308"/>
      <c r="F41" s="327"/>
    </row>
    <row r="42" spans="1:6" s="1" customFormat="1" ht="12" customHeight="1">
      <c r="A42" s="328"/>
      <c r="B42" s="56" t="s">
        <v>225</v>
      </c>
      <c r="C42" s="329"/>
      <c r="D42" s="330"/>
      <c r="E42" s="320"/>
      <c r="F42" s="332"/>
    </row>
    <row r="43" spans="1:6" s="1" customFormat="1" ht="15">
      <c r="A43" s="39"/>
      <c r="B43" s="335" t="s">
        <v>231</v>
      </c>
      <c r="C43" s="329" t="s">
        <v>41</v>
      </c>
      <c r="D43" s="334">
        <f>(18.72*2.7)-((0.9*2.1)+(2*1.6*1.7))</f>
        <v>43.213999999999999</v>
      </c>
      <c r="E43" s="29"/>
      <c r="F43" s="332"/>
    </row>
    <row r="44" spans="1:6" s="1" customFormat="1" ht="15">
      <c r="A44" s="39"/>
      <c r="B44" s="335" t="s">
        <v>233</v>
      </c>
      <c r="C44" s="329" t="s">
        <v>41</v>
      </c>
      <c r="D44" s="334">
        <f>(18.68*2.7)-((0.9*2.1)+(2*1.6*1.7))</f>
        <v>43.106000000000002</v>
      </c>
      <c r="E44" s="29"/>
      <c r="F44" s="332"/>
    </row>
    <row r="45" spans="1:6" s="1" customFormat="1" ht="15">
      <c r="A45" s="39"/>
      <c r="B45" s="335" t="s">
        <v>234</v>
      </c>
      <c r="C45" s="329" t="s">
        <v>41</v>
      </c>
      <c r="D45" s="334">
        <f>(18.68*2.7)-((0.9*2.1)+(2*1.6*1.7))</f>
        <v>43.106000000000002</v>
      </c>
      <c r="E45" s="29"/>
      <c r="F45" s="332"/>
    </row>
    <row r="46" spans="1:6" s="1" customFormat="1" ht="15">
      <c r="A46" s="39"/>
      <c r="B46" s="335" t="s">
        <v>235</v>
      </c>
      <c r="C46" s="329" t="s">
        <v>41</v>
      </c>
      <c r="D46" s="334">
        <f>(18.44*2.7)-((0.9*2.1)+(2*1.6*1.7))</f>
        <v>42.458000000000006</v>
      </c>
      <c r="E46" s="29"/>
      <c r="F46" s="332"/>
    </row>
    <row r="47" spans="1:6" s="1" customFormat="1" ht="15">
      <c r="A47" s="39"/>
      <c r="B47" s="335" t="s">
        <v>237</v>
      </c>
      <c r="C47" s="329" t="s">
        <v>41</v>
      </c>
      <c r="D47" s="334">
        <f>(21.56*2.7)-((0.9*2.1)+(2*1.65*1.7)+(1.5*1.7))</f>
        <v>48.162000000000006</v>
      </c>
      <c r="E47" s="29"/>
      <c r="F47" s="332"/>
    </row>
    <row r="48" spans="1:6" s="1" customFormat="1" ht="15">
      <c r="A48" s="39"/>
      <c r="B48" s="335" t="s">
        <v>238</v>
      </c>
      <c r="C48" s="329" t="s">
        <v>41</v>
      </c>
      <c r="D48" s="334">
        <f>(21.46*2.7)-((0.9*2.1)+(2*1.65*1.7)+(1.5*1.7))</f>
        <v>47.89200000000001</v>
      </c>
      <c r="E48" s="29"/>
      <c r="F48" s="332"/>
    </row>
    <row r="49" spans="1:6" s="1" customFormat="1" ht="15">
      <c r="A49" s="39"/>
      <c r="B49" s="335" t="s">
        <v>239</v>
      </c>
      <c r="C49" s="329" t="s">
        <v>41</v>
      </c>
      <c r="D49" s="334">
        <f>(19.28*2.7)-((0.9*2.1)+(2*1.65*1.7))</f>
        <v>44.556000000000004</v>
      </c>
      <c r="E49" s="29"/>
      <c r="F49" s="332"/>
    </row>
    <row r="50" spans="1:6" s="1" customFormat="1" ht="15">
      <c r="A50" s="39"/>
      <c r="B50" s="335" t="s">
        <v>240</v>
      </c>
      <c r="C50" s="329" t="s">
        <v>41</v>
      </c>
      <c r="D50" s="334">
        <f>(18.69*2.7)-((0.9*2.1)+(2*1.65*1.7))</f>
        <v>42.963000000000008</v>
      </c>
      <c r="E50" s="29"/>
      <c r="F50" s="332"/>
    </row>
    <row r="51" spans="1:6" s="1" customFormat="1" ht="15">
      <c r="A51" s="39"/>
      <c r="B51" s="335" t="s">
        <v>241</v>
      </c>
      <c r="C51" s="329" t="s">
        <v>41</v>
      </c>
      <c r="D51" s="334">
        <f>(18.74*2.7)-((0.9*2.1)+(2*1.6*1.7))</f>
        <v>43.268000000000001</v>
      </c>
      <c r="E51" s="29"/>
      <c r="F51" s="332"/>
    </row>
    <row r="52" spans="1:6" s="1" customFormat="1" ht="15">
      <c r="A52" s="328"/>
      <c r="B52" s="56" t="s">
        <v>226</v>
      </c>
      <c r="C52" s="329"/>
      <c r="D52" s="334"/>
      <c r="E52" s="320"/>
      <c r="F52" s="26"/>
    </row>
    <row r="53" spans="1:6" s="1" customFormat="1" ht="15">
      <c r="A53" s="39"/>
      <c r="B53" s="333" t="s">
        <v>257</v>
      </c>
      <c r="C53" s="329" t="s">
        <v>41</v>
      </c>
      <c r="D53" s="334">
        <f>(19.1*2.7)-((0.9*2.1)+(2*1.6*1.7))</f>
        <v>44.240000000000009</v>
      </c>
      <c r="E53" s="29"/>
      <c r="F53" s="332"/>
    </row>
    <row r="54" spans="1:6" s="1" customFormat="1" ht="15.75" thickBot="1">
      <c r="A54" s="163"/>
      <c r="B54" s="400" t="s">
        <v>258</v>
      </c>
      <c r="C54" s="338" t="s">
        <v>41</v>
      </c>
      <c r="D54" s="339">
        <f>(14.72*2.7)-((0.9*2.1)+(2*1.6*1.7))</f>
        <v>32.414000000000009</v>
      </c>
      <c r="E54" s="78"/>
      <c r="F54" s="340"/>
    </row>
    <row r="55" spans="1:6" s="1" customFormat="1" ht="15.75" thickTop="1">
      <c r="A55" s="167"/>
      <c r="B55" s="341" t="s">
        <v>259</v>
      </c>
      <c r="C55" s="342" t="s">
        <v>41</v>
      </c>
      <c r="D55" s="343">
        <f>(18.7*2.7)-((0.9*2.1)+(2*1.6*1.7))</f>
        <v>43.160000000000004</v>
      </c>
      <c r="E55" s="12"/>
      <c r="F55" s="344"/>
    </row>
    <row r="56" spans="1:6" s="1" customFormat="1" ht="15">
      <c r="A56" s="39"/>
      <c r="B56" s="336" t="s">
        <v>260</v>
      </c>
      <c r="C56" s="329" t="s">
        <v>41</v>
      </c>
      <c r="D56" s="334">
        <f>(18.83*2.7)-((0.9*2.1)+(2*1.6*1.7))</f>
        <v>43.511000000000003</v>
      </c>
      <c r="E56" s="29"/>
      <c r="F56" s="332"/>
    </row>
    <row r="57" spans="1:6" s="1" customFormat="1" ht="15">
      <c r="A57" s="39"/>
      <c r="B57" s="336" t="s">
        <v>261</v>
      </c>
      <c r="C57" s="329" t="s">
        <v>41</v>
      </c>
      <c r="D57" s="334">
        <f>(19.36*2.7)-((0.9*2.1)+(2*1.6*1.7))</f>
        <v>44.942</v>
      </c>
      <c r="E57" s="29"/>
      <c r="F57" s="332"/>
    </row>
    <row r="58" spans="1:6" s="1" customFormat="1" ht="15">
      <c r="A58" s="39"/>
      <c r="B58" s="336" t="s">
        <v>262</v>
      </c>
      <c r="C58" s="329" t="s">
        <v>41</v>
      </c>
      <c r="D58" s="334">
        <f>(21.61*2.7)-((0.9*2.1)+(3*1.6*1.7))</f>
        <v>48.296999999999997</v>
      </c>
      <c r="E58" s="29"/>
      <c r="F58" s="332"/>
    </row>
    <row r="59" spans="1:6" s="1" customFormat="1" ht="15">
      <c r="A59" s="39"/>
      <c r="B59" s="336" t="s">
        <v>263</v>
      </c>
      <c r="C59" s="329" t="s">
        <v>41</v>
      </c>
      <c r="D59" s="334">
        <f>(21.69*2.7)-((0.9*2.1)+(3*1.6*1.7))</f>
        <v>48.513000000000005</v>
      </c>
      <c r="E59" s="29"/>
      <c r="F59" s="332"/>
    </row>
    <row r="60" spans="1:6" s="1" customFormat="1" ht="15">
      <c r="A60" s="39"/>
      <c r="B60" s="336" t="s">
        <v>265</v>
      </c>
      <c r="C60" s="329" t="s">
        <v>41</v>
      </c>
      <c r="D60" s="334">
        <f>(18.59*2.7)-((0.9*2.1)+(2*1.6*1.7))</f>
        <v>42.863000000000007</v>
      </c>
      <c r="E60" s="29"/>
      <c r="F60" s="332"/>
    </row>
    <row r="61" spans="1:6" s="1" customFormat="1" ht="15">
      <c r="A61" s="39"/>
      <c r="B61" s="336" t="s">
        <v>266</v>
      </c>
      <c r="C61" s="329" t="s">
        <v>41</v>
      </c>
      <c r="D61" s="334">
        <f>(18.91*2.7)-((0.9*2.1)+(2*1.6*1.7))</f>
        <v>43.727000000000004</v>
      </c>
      <c r="E61" s="29"/>
      <c r="F61" s="332"/>
    </row>
    <row r="62" spans="1:6" s="1" customFormat="1" ht="15">
      <c r="A62" s="39"/>
      <c r="B62" s="336" t="s">
        <v>267</v>
      </c>
      <c r="C62" s="329" t="s">
        <v>41</v>
      </c>
      <c r="D62" s="334">
        <f>(18.83*2.7)-((0.9*2.1)+(2*1.6*1.7))</f>
        <v>43.511000000000003</v>
      </c>
      <c r="E62" s="29"/>
      <c r="F62" s="332"/>
    </row>
    <row r="63" spans="1:6" s="1" customFormat="1" ht="15">
      <c r="A63" s="39"/>
      <c r="B63" s="336" t="s">
        <v>268</v>
      </c>
      <c r="C63" s="329" t="s">
        <v>41</v>
      </c>
      <c r="D63" s="334">
        <f>(18.69*2.7)-((0.9*2.1)+(2*1.6*1.7))</f>
        <v>43.13300000000001</v>
      </c>
      <c r="E63" s="29"/>
      <c r="F63" s="332"/>
    </row>
    <row r="64" spans="1:6" s="1" customFormat="1" ht="15">
      <c r="A64" s="39"/>
      <c r="B64" s="336" t="s">
        <v>276</v>
      </c>
      <c r="C64" s="329" t="s">
        <v>41</v>
      </c>
      <c r="D64" s="334">
        <f>(18.98*2.7)-((1.5*1.7)+(1*2.1))</f>
        <v>46.596000000000004</v>
      </c>
      <c r="E64" s="29"/>
      <c r="F64" s="332"/>
    </row>
    <row r="65" spans="1:6" s="1" customFormat="1" ht="15">
      <c r="A65" s="39"/>
      <c r="B65" s="336" t="s">
        <v>277</v>
      </c>
      <c r="C65" s="329" t="s">
        <v>41</v>
      </c>
      <c r="D65" s="334">
        <f>(19.25*2.7)-((2*1.5*1.7)+(1.18*2.1))</f>
        <v>44.397000000000006</v>
      </c>
      <c r="E65" s="29"/>
      <c r="F65" s="332"/>
    </row>
    <row r="66" spans="1:6" s="1" customFormat="1" ht="15">
      <c r="A66" s="39"/>
      <c r="B66" s="336" t="s">
        <v>278</v>
      </c>
      <c r="C66" s="329" t="s">
        <v>41</v>
      </c>
      <c r="D66" s="334">
        <f>(18.86*2.7)-((1.5*1.7)+(1.18*2.1))</f>
        <v>45.894000000000005</v>
      </c>
      <c r="E66" s="29"/>
      <c r="F66" s="332"/>
    </row>
    <row r="67" spans="1:6" s="1" customFormat="1" ht="15">
      <c r="A67" s="328"/>
      <c r="B67" s="56" t="s">
        <v>227</v>
      </c>
      <c r="C67" s="329"/>
      <c r="D67" s="334"/>
      <c r="E67" s="320"/>
      <c r="F67" s="332"/>
    </row>
    <row r="68" spans="1:6" s="1" customFormat="1" ht="15">
      <c r="A68" s="39"/>
      <c r="B68" s="336" t="s">
        <v>282</v>
      </c>
      <c r="C68" s="329" t="s">
        <v>41</v>
      </c>
      <c r="D68" s="334">
        <f>(16.05*2.7)-((1*2.1)+(1.6*1.7)+(1.6*2.7))</f>
        <v>34.195000000000007</v>
      </c>
      <c r="E68" s="29"/>
      <c r="F68" s="332"/>
    </row>
    <row r="69" spans="1:6" s="1" customFormat="1" ht="15">
      <c r="A69" s="167"/>
      <c r="B69" s="341" t="s">
        <v>284</v>
      </c>
      <c r="C69" s="342" t="s">
        <v>41</v>
      </c>
      <c r="D69" s="343">
        <f>(18.91*2.7)-((1*2.1)+(1.6*1.7)+(1.6*2.7))</f>
        <v>41.917000000000002</v>
      </c>
      <c r="E69" s="29"/>
      <c r="F69" s="344"/>
    </row>
    <row r="70" spans="1:6" s="1" customFormat="1" ht="15">
      <c r="A70" s="39"/>
      <c r="B70" s="336" t="s">
        <v>285</v>
      </c>
      <c r="C70" s="329" t="s">
        <v>41</v>
      </c>
      <c r="D70" s="334">
        <f>(18.59*2.7)-((1*2.1)+(1.6*1.7)+(1.6*2.7))</f>
        <v>41.053000000000004</v>
      </c>
      <c r="E70" s="29"/>
      <c r="F70" s="332"/>
    </row>
    <row r="71" spans="1:6" s="1" customFormat="1" ht="15">
      <c r="A71" s="39"/>
      <c r="B71" s="336" t="s">
        <v>286</v>
      </c>
      <c r="C71" s="329" t="s">
        <v>41</v>
      </c>
      <c r="D71" s="334">
        <f>(18.72*2.7)-((1*2.1)+(1.6*2.1)+(1.6*2.7))</f>
        <v>40.763999999999996</v>
      </c>
      <c r="E71" s="29"/>
      <c r="F71" s="332"/>
    </row>
    <row r="72" spans="1:6" s="1" customFormat="1" ht="15">
      <c r="A72" s="39"/>
      <c r="B72" s="336" t="s">
        <v>287</v>
      </c>
      <c r="C72" s="329" t="s">
        <v>41</v>
      </c>
      <c r="D72" s="334">
        <f>(18.68*2.7)-((1*2.1)+(1.6*1.7)+(1.6*2.7))</f>
        <v>41.295999999999999</v>
      </c>
      <c r="E72" s="29"/>
      <c r="F72" s="332"/>
    </row>
    <row r="73" spans="1:6" s="1" customFormat="1" ht="15">
      <c r="A73" s="39"/>
      <c r="B73" s="336" t="s">
        <v>288</v>
      </c>
      <c r="C73" s="329" t="s">
        <v>41</v>
      </c>
      <c r="D73" s="334">
        <f>(18.68*2.7)-((1*2.1)+(1.6*1.7)+(1.6*2.7))</f>
        <v>41.295999999999999</v>
      </c>
      <c r="E73" s="29"/>
      <c r="F73" s="332"/>
    </row>
    <row r="74" spans="1:6" s="1" customFormat="1" ht="15">
      <c r="A74" s="39"/>
      <c r="B74" s="336" t="s">
        <v>289</v>
      </c>
      <c r="C74" s="329" t="s">
        <v>41</v>
      </c>
      <c r="D74" s="334">
        <f>(18.4*2.7)-((1*2.1)+(1.6*1.7)+(1.6*2.7))</f>
        <v>40.54</v>
      </c>
      <c r="E74" s="29"/>
      <c r="F74" s="332"/>
    </row>
    <row r="75" spans="1:6" s="1" customFormat="1" ht="15">
      <c r="A75" s="39"/>
      <c r="B75" s="336" t="s">
        <v>291</v>
      </c>
      <c r="C75" s="329" t="s">
        <v>41</v>
      </c>
      <c r="D75" s="334">
        <f>(21.56*2.7)-((1*2.1)+(1.6*2.7)+(2*1.6*1.7))</f>
        <v>46.352000000000004</v>
      </c>
      <c r="E75" s="29"/>
      <c r="F75" s="332"/>
    </row>
    <row r="76" spans="1:6" s="1" customFormat="1" ht="15">
      <c r="A76" s="39"/>
      <c r="B76" s="336" t="s">
        <v>292</v>
      </c>
      <c r="C76" s="329" t="s">
        <v>41</v>
      </c>
      <c r="D76" s="334">
        <f>(21.46*2.7)-((1*2.1)+(1.6*2.7)+(2*1.6*1.7))</f>
        <v>46.082000000000008</v>
      </c>
      <c r="E76" s="29"/>
      <c r="F76" s="332"/>
    </row>
    <row r="77" spans="1:6" s="1" customFormat="1" ht="15">
      <c r="A77" s="39"/>
      <c r="B77" s="336" t="s">
        <v>293</v>
      </c>
      <c r="C77" s="329" t="s">
        <v>41</v>
      </c>
      <c r="D77" s="334">
        <f>(18.43*2.7)-((1*2.1)+(1.6*1.7)+(1.6*2.7))</f>
        <v>40.621000000000002</v>
      </c>
      <c r="E77" s="29"/>
      <c r="F77" s="332"/>
    </row>
    <row r="78" spans="1:6" s="1" customFormat="1" ht="15">
      <c r="A78" s="39"/>
      <c r="B78" s="336" t="s">
        <v>294</v>
      </c>
      <c r="C78" s="329" t="s">
        <v>41</v>
      </c>
      <c r="D78" s="334">
        <f>(18.67*2.7)-((1*2.1)+(1.6*1.7)+(1.6*2.7))</f>
        <v>41.269000000000005</v>
      </c>
      <c r="E78" s="29"/>
      <c r="F78" s="332"/>
    </row>
    <row r="79" spans="1:6" s="1" customFormat="1" ht="15">
      <c r="A79" s="39"/>
      <c r="B79" s="336" t="s">
        <v>295</v>
      </c>
      <c r="C79" s="329" t="s">
        <v>41</v>
      </c>
      <c r="D79" s="334">
        <f>(18.7*2.7)-((1*2.1)+(1.6*1.7)+(1.6*2.7))</f>
        <v>41.35</v>
      </c>
      <c r="E79" s="29"/>
      <c r="F79" s="332"/>
    </row>
    <row r="80" spans="1:6" s="1" customFormat="1" ht="15">
      <c r="A80" s="39"/>
      <c r="B80" s="336" t="s">
        <v>296</v>
      </c>
      <c r="C80" s="329" t="s">
        <v>41</v>
      </c>
      <c r="D80" s="334">
        <f>(18.74*2.7)-((1*2.1)+(1.6*1.7)+(1.6*2.7))</f>
        <v>41.457999999999998</v>
      </c>
      <c r="E80" s="29"/>
      <c r="F80" s="332"/>
    </row>
    <row r="81" spans="1:6" s="1" customFormat="1" ht="15">
      <c r="A81" s="39"/>
      <c r="B81" s="336" t="s">
        <v>297</v>
      </c>
      <c r="C81" s="329" t="s">
        <v>41</v>
      </c>
      <c r="D81" s="334">
        <f>(21.58*2.7)-((1*2.1)+(2*1.6*1.7))</f>
        <v>50.725999999999999</v>
      </c>
      <c r="E81" s="29"/>
      <c r="F81" s="332"/>
    </row>
    <row r="82" spans="1:6" s="1" customFormat="1" ht="15">
      <c r="A82" s="328"/>
      <c r="B82" s="56" t="s">
        <v>228</v>
      </c>
      <c r="C82" s="329"/>
      <c r="D82" s="334"/>
      <c r="E82" s="320"/>
      <c r="F82" s="332"/>
    </row>
    <row r="83" spans="1:6" s="1" customFormat="1" ht="15">
      <c r="A83" s="39"/>
      <c r="B83" s="336" t="s">
        <v>302</v>
      </c>
      <c r="C83" s="329" t="s">
        <v>41</v>
      </c>
      <c r="D83" s="334">
        <f>(16.1*2.7)-((1*2.1)+(1.5*2.1)+(1.6*1.7))</f>
        <v>35.500000000000007</v>
      </c>
      <c r="E83" s="29"/>
      <c r="F83" s="332"/>
    </row>
    <row r="84" spans="1:6" s="1" customFormat="1" ht="15">
      <c r="A84" s="39"/>
      <c r="B84" s="336" t="s">
        <v>303</v>
      </c>
      <c r="C84" s="329" t="s">
        <v>41</v>
      </c>
      <c r="D84" s="334">
        <f>(18.93*2.7)-((1*2.1)+(1.6*1.7)+(1.6*2.7))</f>
        <v>41.971000000000004</v>
      </c>
      <c r="E84" s="29"/>
      <c r="F84" s="332"/>
    </row>
    <row r="85" spans="1:6" s="1" customFormat="1" ht="15">
      <c r="A85" s="39"/>
      <c r="B85" s="336" t="s">
        <v>304</v>
      </c>
      <c r="C85" s="329" t="s">
        <v>41</v>
      </c>
      <c r="D85" s="334">
        <f>(18.53*2.7)-((0.9*2.1)+(1.6*2.1)+(1.6*2.7))</f>
        <v>40.461000000000006</v>
      </c>
      <c r="E85" s="29"/>
      <c r="F85" s="332"/>
    </row>
    <row r="86" spans="1:6" s="1" customFormat="1" ht="15">
      <c r="A86" s="39"/>
      <c r="B86" s="336" t="s">
        <v>305</v>
      </c>
      <c r="C86" s="329" t="s">
        <v>41</v>
      </c>
      <c r="D86" s="334">
        <f>(18.69*2.7)-((1*2.1)+(1.6*1.7)+(1.6*2.7))</f>
        <v>41.323000000000008</v>
      </c>
      <c r="E86" s="29"/>
      <c r="F86" s="332"/>
    </row>
    <row r="87" spans="1:6" s="1" customFormat="1" ht="15">
      <c r="A87" s="39"/>
      <c r="B87" s="336" t="s">
        <v>306</v>
      </c>
      <c r="C87" s="329" t="s">
        <v>41</v>
      </c>
      <c r="D87" s="334">
        <f>(18.83*2.7)-((1*2.1)+(1.6*1.7)+(1.6*2.7))</f>
        <v>41.701000000000001</v>
      </c>
      <c r="E87" s="29"/>
      <c r="F87" s="332"/>
    </row>
    <row r="88" spans="1:6" s="1" customFormat="1" ht="15">
      <c r="A88" s="39"/>
      <c r="B88" s="336" t="s">
        <v>307</v>
      </c>
      <c r="C88" s="329" t="s">
        <v>41</v>
      </c>
      <c r="D88" s="334">
        <f>(18.91*2.7)-((1*2.1)+(1.6*1.7)+(1.6*2.7))</f>
        <v>41.917000000000002</v>
      </c>
      <c r="E88" s="29"/>
      <c r="F88" s="332"/>
    </row>
    <row r="89" spans="1:6" s="1" customFormat="1" ht="15">
      <c r="A89" s="39"/>
      <c r="B89" s="336" t="s">
        <v>308</v>
      </c>
      <c r="C89" s="329" t="s">
        <v>41</v>
      </c>
      <c r="D89" s="334">
        <f>(18.59*2.7)-((1*2.1)+(1.6*1.7)+(1.6*2.7))</f>
        <v>41.053000000000004</v>
      </c>
      <c r="E89" s="29"/>
      <c r="F89" s="332"/>
    </row>
    <row r="90" spans="1:6" s="1" customFormat="1" ht="15">
      <c r="A90" s="39"/>
      <c r="B90" s="336" t="s">
        <v>310</v>
      </c>
      <c r="C90" s="329" t="s">
        <v>41</v>
      </c>
      <c r="D90" s="334">
        <f>(21.69*2.7)-((1*2.1)+(1.6*2.1)+(2*1.6*1.7))</f>
        <v>47.663000000000011</v>
      </c>
      <c r="E90" s="29"/>
      <c r="F90" s="332"/>
    </row>
    <row r="91" spans="1:6" s="1" customFormat="1" ht="15">
      <c r="A91" s="39"/>
      <c r="B91" s="336" t="s">
        <v>311</v>
      </c>
      <c r="C91" s="329" t="s">
        <v>41</v>
      </c>
      <c r="D91" s="334">
        <f>(21.61*2.7)-((1*2.1)+(1.6*2.7)+(2*1.6*1.7))</f>
        <v>46.487000000000002</v>
      </c>
      <c r="E91" s="29"/>
      <c r="F91" s="332"/>
    </row>
    <row r="92" spans="1:6" s="1" customFormat="1" ht="15">
      <c r="A92" s="39"/>
      <c r="B92" s="336" t="s">
        <v>312</v>
      </c>
      <c r="C92" s="329" t="s">
        <v>41</v>
      </c>
      <c r="D92" s="334">
        <f>(18.59*2.7)-((1*2.1)+(1.6*2.7)+(1.5*1.7))</f>
        <v>41.223000000000006</v>
      </c>
      <c r="E92" s="29"/>
      <c r="F92" s="332"/>
    </row>
    <row r="93" spans="1:6" s="1" customFormat="1" ht="15">
      <c r="A93" s="39"/>
      <c r="B93" s="336" t="s">
        <v>313</v>
      </c>
      <c r="C93" s="329" t="s">
        <v>41</v>
      </c>
      <c r="D93" s="334">
        <f>(18.91*2.7)-((1*2.1)+(1.6*2.7)+(1.5*1.7))</f>
        <v>42.087000000000003</v>
      </c>
      <c r="E93" s="29"/>
      <c r="F93" s="332"/>
    </row>
    <row r="94" spans="1:6" s="1" customFormat="1" ht="15.75" thickBot="1">
      <c r="A94" s="163"/>
      <c r="B94" s="337" t="s">
        <v>314</v>
      </c>
      <c r="C94" s="338" t="s">
        <v>41</v>
      </c>
      <c r="D94" s="339">
        <f>(18.83*2.7)-((1*2.1)+(1.6*2.7)+(1.5*1.7))</f>
        <v>41.871000000000002</v>
      </c>
      <c r="E94" s="78"/>
      <c r="F94" s="340"/>
    </row>
    <row r="95" spans="1:6" s="1" customFormat="1" ht="15.75" thickTop="1">
      <c r="A95" s="167"/>
      <c r="B95" s="341" t="s">
        <v>315</v>
      </c>
      <c r="C95" s="342" t="s">
        <v>41</v>
      </c>
      <c r="D95" s="343">
        <f>(18.69*2.7)-((1*2.1)+(1.6*2.7)+(1.5*1.7))</f>
        <v>41.493000000000009</v>
      </c>
      <c r="E95" s="12"/>
      <c r="F95" s="344"/>
    </row>
    <row r="96" spans="1:6" s="1" customFormat="1" ht="15">
      <c r="A96" s="39"/>
      <c r="B96" s="336" t="s">
        <v>316</v>
      </c>
      <c r="C96" s="329" t="s">
        <v>41</v>
      </c>
      <c r="D96" s="334">
        <f>(21.6*2.7)-((1*2.1)+(2*1.6*1.7))</f>
        <v>50.780000000000008</v>
      </c>
      <c r="E96" s="29"/>
      <c r="F96" s="332"/>
    </row>
    <row r="97" spans="1:6" ht="12.75" thickBot="1">
      <c r="A97" s="39"/>
      <c r="B97" s="66"/>
      <c r="C97" s="310"/>
      <c r="D97" s="25"/>
      <c r="E97" s="311"/>
      <c r="F97" s="30"/>
    </row>
    <row r="98" spans="1:6" s="89" customFormat="1" ht="27" customHeight="1" thickTop="1" thickBot="1">
      <c r="A98" s="22"/>
      <c r="B98" s="345"/>
      <c r="C98" s="474" t="str">
        <f>B40</f>
        <v>PLATRERIE</v>
      </c>
      <c r="D98" s="475"/>
      <c r="E98" s="476"/>
      <c r="F98" s="51"/>
    </row>
    <row r="99" spans="1:6" s="46" customFormat="1" ht="13.5" thickTop="1" thickBot="1">
      <c r="A99" s="90"/>
      <c r="B99" s="63"/>
      <c r="C99" s="69"/>
      <c r="D99" s="53"/>
      <c r="E99" s="362"/>
      <c r="F99" s="30"/>
    </row>
    <row r="100" spans="1:6" ht="30" customHeight="1" thickTop="1" thickBot="1">
      <c r="A100" s="477" t="s">
        <v>63</v>
      </c>
      <c r="B100" s="478"/>
      <c r="C100" s="478"/>
      <c r="D100" s="478"/>
      <c r="E100" s="479"/>
      <c r="F100" s="102"/>
    </row>
    <row r="101" spans="1:6" ht="12.75" thickTop="1"/>
    <row r="103" spans="1:6">
      <c r="A103" s="107" t="s">
        <v>64</v>
      </c>
      <c r="E103" s="111"/>
      <c r="F103" s="112"/>
    </row>
    <row r="106" spans="1:6" ht="15" customHeight="1">
      <c r="D106" s="480"/>
      <c r="E106" s="480"/>
      <c r="F106" s="110"/>
    </row>
    <row r="107" spans="1:6" ht="15">
      <c r="D107" s="111"/>
      <c r="E107" s="113"/>
      <c r="F107" s="299"/>
    </row>
    <row r="110" spans="1:6">
      <c r="B110" s="104" t="s">
        <v>33</v>
      </c>
    </row>
  </sheetData>
  <mergeCells count="12">
    <mergeCell ref="D106:E106"/>
    <mergeCell ref="A1:F1"/>
    <mergeCell ref="A2:F2"/>
    <mergeCell ref="A3:F3"/>
    <mergeCell ref="A4:F4"/>
    <mergeCell ref="E8:F8"/>
    <mergeCell ref="E9:F9"/>
    <mergeCell ref="E11:F11"/>
    <mergeCell ref="C32:E32"/>
    <mergeCell ref="B34:B38"/>
    <mergeCell ref="C98:E98"/>
    <mergeCell ref="A100:E100"/>
  </mergeCells>
  <conditionalFormatting sqref="E10">
    <cfRule type="cellIs" dxfId="57" priority="2" operator="equal">
      <formula>0</formula>
    </cfRule>
  </conditionalFormatting>
  <conditionalFormatting sqref="E43:E51 E53:E66 E68:E81 E83:E96">
    <cfRule type="cellIs" dxfId="56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1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4" max="5" man="1"/>
    <brk id="94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E82D-A9D2-4145-9957-8A8BE08834ED}">
  <sheetPr codeName="Feuil76">
    <pageSetUpPr fitToPage="1"/>
  </sheetPr>
  <dimension ref="A1:F109"/>
  <sheetViews>
    <sheetView zoomScale="85" zoomScaleNormal="85" zoomScaleSheetLayoutView="85" workbookViewId="0">
      <selection activeCell="N28" sqref="N28"/>
    </sheetView>
  </sheetViews>
  <sheetFormatPr baseColWidth="10" defaultColWidth="11.42578125" defaultRowHeight="12"/>
  <cols>
    <col min="1" max="1" width="7.7109375" style="197" customWidth="1"/>
    <col min="2" max="2" width="46.7109375" style="198" customWidth="1"/>
    <col min="3" max="3" width="4.7109375" style="199" customWidth="1"/>
    <col min="4" max="4" width="11.7109375" style="200" customWidth="1"/>
    <col min="5" max="5" width="12.7109375" style="201" customWidth="1"/>
    <col min="6" max="6" width="17.7109375" style="202" customWidth="1"/>
    <col min="7" max="16384" width="11.42578125" style="14"/>
  </cols>
  <sheetData>
    <row r="1" spans="1:6" customFormat="1" ht="33.950000000000003" customHeight="1" thickTop="1" thickBot="1">
      <c r="A1" s="510" t="s">
        <v>65</v>
      </c>
      <c r="B1" s="511"/>
      <c r="C1" s="512"/>
      <c r="D1" s="512"/>
      <c r="E1" s="512"/>
      <c r="F1" s="513"/>
    </row>
    <row r="2" spans="1:6" customFormat="1" ht="33.950000000000003" customHeight="1" thickTop="1" thickBot="1">
      <c r="A2" s="510" t="s">
        <v>1</v>
      </c>
      <c r="B2" s="511"/>
      <c r="C2" s="512"/>
      <c r="D2" s="512"/>
      <c r="E2" s="512"/>
      <c r="F2" s="513"/>
    </row>
    <row r="3" spans="1:6" customFormat="1" ht="33.950000000000003" customHeight="1" thickTop="1" thickBot="1">
      <c r="A3" s="510" t="s">
        <v>66</v>
      </c>
      <c r="B3" s="511"/>
      <c r="C3" s="512"/>
      <c r="D3" s="512"/>
      <c r="E3" s="512"/>
      <c r="F3" s="513"/>
    </row>
    <row r="4" spans="1:6" customFormat="1" ht="33.950000000000003" customHeight="1" thickTop="1" thickBot="1">
      <c r="A4" s="539" t="s">
        <v>457</v>
      </c>
      <c r="B4" s="540"/>
      <c r="C4" s="541"/>
      <c r="D4" s="541"/>
      <c r="E4" s="541"/>
      <c r="F4" s="542"/>
    </row>
    <row r="5" spans="1:6" customFormat="1" ht="24.95" customHeight="1" thickTop="1" thickBot="1">
      <c r="A5" s="114" t="s">
        <v>4</v>
      </c>
      <c r="B5" s="115" t="s">
        <v>5</v>
      </c>
      <c r="C5" s="115" t="s">
        <v>6</v>
      </c>
      <c r="D5" s="116" t="s">
        <v>7</v>
      </c>
      <c r="E5" s="117" t="s">
        <v>8</v>
      </c>
      <c r="F5" s="118" t="s">
        <v>9</v>
      </c>
    </row>
    <row r="6" spans="1:6" ht="12.75" thickTop="1">
      <c r="A6" s="119"/>
      <c r="B6" s="120"/>
      <c r="C6" s="121"/>
      <c r="D6" s="122"/>
      <c r="E6" s="123"/>
      <c r="F6" s="124"/>
    </row>
    <row r="7" spans="1:6" s="21" customFormat="1" ht="20.100000000000001" customHeight="1">
      <c r="A7" s="125">
        <v>10.1</v>
      </c>
      <c r="B7" s="126" t="s">
        <v>10</v>
      </c>
      <c r="C7" s="127"/>
      <c r="D7" s="128"/>
      <c r="E7" s="129"/>
      <c r="F7" s="130"/>
    </row>
    <row r="8" spans="1:6" customFormat="1" ht="12" customHeight="1">
      <c r="A8" s="131">
        <f>+A7+0.001</f>
        <v>10.100999999999999</v>
      </c>
      <c r="B8" s="132" t="s">
        <v>11</v>
      </c>
      <c r="C8" s="133" t="s">
        <v>12</v>
      </c>
      <c r="D8" s="134">
        <v>1</v>
      </c>
      <c r="E8" s="514" t="s">
        <v>15</v>
      </c>
      <c r="F8" s="515"/>
    </row>
    <row r="9" spans="1:6" customFormat="1" ht="24">
      <c r="A9" s="131">
        <f>+A8+0.001</f>
        <v>10.101999999999999</v>
      </c>
      <c r="B9" s="132" t="s">
        <v>14</v>
      </c>
      <c r="C9" s="133" t="s">
        <v>12</v>
      </c>
      <c r="D9" s="134">
        <v>1</v>
      </c>
      <c r="E9" s="514" t="s">
        <v>67</v>
      </c>
      <c r="F9" s="515"/>
    </row>
    <row r="10" spans="1:6" customFormat="1" ht="12" customHeight="1">
      <c r="A10" s="131">
        <f>+A9+0.001</f>
        <v>10.102999999999998</v>
      </c>
      <c r="B10" s="132" t="s">
        <v>68</v>
      </c>
      <c r="C10" s="133" t="s">
        <v>12</v>
      </c>
      <c r="D10" s="136">
        <v>1</v>
      </c>
      <c r="E10" s="29"/>
      <c r="F10" s="137"/>
    </row>
    <row r="11" spans="1:6" customFormat="1" ht="12" customHeight="1">
      <c r="A11" s="22">
        <f>+A10+0.001</f>
        <v>10.103999999999997</v>
      </c>
      <c r="B11" s="31" t="s">
        <v>17</v>
      </c>
      <c r="C11" s="24" t="s">
        <v>12</v>
      </c>
      <c r="D11" s="32">
        <v>1</v>
      </c>
      <c r="E11" s="481" t="s">
        <v>13</v>
      </c>
      <c r="F11" s="482"/>
    </row>
    <row r="12" spans="1:6" customFormat="1" ht="12" customHeight="1">
      <c r="A12" s="131"/>
      <c r="B12" s="138"/>
      <c r="C12" s="133"/>
      <c r="D12" s="134"/>
      <c r="E12" s="139"/>
      <c r="F12" s="137"/>
    </row>
    <row r="13" spans="1:6" customFormat="1" ht="12" customHeight="1">
      <c r="A13" s="140"/>
      <c r="B13" s="141" t="s">
        <v>18</v>
      </c>
      <c r="C13" s="142"/>
      <c r="D13" s="143"/>
      <c r="E13" s="144"/>
      <c r="F13" s="145"/>
    </row>
    <row r="14" spans="1:6" customFormat="1" ht="12" customHeight="1">
      <c r="A14" s="140"/>
      <c r="B14" s="141" t="s">
        <v>19</v>
      </c>
      <c r="C14" s="142"/>
      <c r="D14" s="143"/>
      <c r="E14" s="144"/>
      <c r="F14" s="145"/>
    </row>
    <row r="15" spans="1:6" customFormat="1" ht="12" customHeight="1">
      <c r="A15" s="140"/>
      <c r="B15" s="141" t="s">
        <v>20</v>
      </c>
      <c r="C15" s="142"/>
      <c r="D15" s="143"/>
      <c r="E15" s="144"/>
      <c r="F15" s="145"/>
    </row>
    <row r="16" spans="1:6" customFormat="1" ht="12" customHeight="1">
      <c r="A16" s="140"/>
      <c r="B16" s="141" t="s">
        <v>21</v>
      </c>
      <c r="C16" s="146"/>
      <c r="D16" s="134"/>
      <c r="E16" s="147"/>
      <c r="F16" s="135"/>
    </row>
    <row r="17" spans="1:6" customFormat="1" ht="12" customHeight="1">
      <c r="A17" s="140"/>
      <c r="B17" s="141" t="s">
        <v>22</v>
      </c>
      <c r="C17" s="142"/>
      <c r="D17" s="143"/>
      <c r="E17" s="144"/>
      <c r="F17" s="145"/>
    </row>
    <row r="18" spans="1:6" customFormat="1" ht="12" customHeight="1">
      <c r="A18" s="140"/>
      <c r="B18" s="141" t="s">
        <v>23</v>
      </c>
      <c r="C18" s="142"/>
      <c r="D18" s="143"/>
      <c r="E18" s="144" t="s">
        <v>33</v>
      </c>
      <c r="F18" s="145"/>
    </row>
    <row r="19" spans="1:6" customFormat="1" ht="12" customHeight="1">
      <c r="A19" s="140"/>
      <c r="B19" s="141" t="s">
        <v>24</v>
      </c>
      <c r="C19" s="142"/>
      <c r="D19" s="143"/>
      <c r="E19" s="144"/>
      <c r="F19" s="145"/>
    </row>
    <row r="20" spans="1:6" customFormat="1" ht="12" customHeight="1">
      <c r="A20" s="140"/>
      <c r="B20" s="141" t="s">
        <v>25</v>
      </c>
      <c r="C20" s="142"/>
      <c r="D20" s="143"/>
      <c r="E20" s="144"/>
      <c r="F20" s="145"/>
    </row>
    <row r="21" spans="1:6" customFormat="1" ht="12" customHeight="1">
      <c r="A21" s="140"/>
      <c r="B21" s="141" t="s">
        <v>26</v>
      </c>
      <c r="C21" s="142"/>
      <c r="D21" s="143"/>
      <c r="E21" s="144"/>
      <c r="F21" s="145"/>
    </row>
    <row r="22" spans="1:6" customFormat="1" ht="12" customHeight="1">
      <c r="A22" s="140"/>
      <c r="B22" s="141" t="s">
        <v>27</v>
      </c>
      <c r="C22" s="142"/>
      <c r="D22" s="143"/>
      <c r="E22" s="144"/>
      <c r="F22" s="145"/>
    </row>
    <row r="23" spans="1:6" customFormat="1" ht="12" customHeight="1">
      <c r="A23" s="140"/>
      <c r="B23" s="141" t="s">
        <v>28</v>
      </c>
      <c r="C23" s="142"/>
      <c r="D23" s="143"/>
      <c r="E23" s="144"/>
      <c r="F23" s="145"/>
    </row>
    <row r="24" spans="1:6" customFormat="1" ht="12" customHeight="1">
      <c r="A24" s="140"/>
      <c r="B24" s="141" t="s">
        <v>29</v>
      </c>
      <c r="C24" s="142"/>
      <c r="D24" s="143"/>
      <c r="E24" s="144"/>
      <c r="F24" s="145"/>
    </row>
    <row r="25" spans="1:6" customFormat="1" ht="12" customHeight="1">
      <c r="A25" s="140"/>
      <c r="B25" s="141" t="s">
        <v>30</v>
      </c>
      <c r="C25" s="142"/>
      <c r="D25" s="143"/>
      <c r="E25" s="144"/>
      <c r="F25" s="145"/>
    </row>
    <row r="26" spans="1:6" customFormat="1" ht="12" customHeight="1">
      <c r="A26" s="140"/>
      <c r="B26" s="141" t="s">
        <v>31</v>
      </c>
      <c r="C26" s="142"/>
      <c r="D26" s="143"/>
      <c r="E26" s="144"/>
      <c r="F26" s="145"/>
    </row>
    <row r="27" spans="1:6" customFormat="1" ht="12" customHeight="1">
      <c r="A27" s="140"/>
      <c r="B27" s="141" t="s">
        <v>32</v>
      </c>
      <c r="C27" s="142"/>
      <c r="D27" s="143"/>
      <c r="E27" s="144"/>
      <c r="F27" s="145"/>
    </row>
    <row r="28" spans="1:6" customFormat="1" ht="12" customHeight="1">
      <c r="A28" s="140"/>
      <c r="B28" s="141" t="s">
        <v>34</v>
      </c>
      <c r="C28" s="142"/>
      <c r="D28" s="143"/>
      <c r="E28" s="144"/>
      <c r="F28" s="145"/>
    </row>
    <row r="29" spans="1:6" customFormat="1" ht="12" customHeight="1">
      <c r="A29" s="140"/>
      <c r="B29" s="141" t="s">
        <v>35</v>
      </c>
      <c r="C29" s="142"/>
      <c r="D29" s="143"/>
      <c r="E29" s="144"/>
      <c r="F29" s="145"/>
    </row>
    <row r="30" spans="1:6" customFormat="1" ht="12" customHeight="1">
      <c r="A30" s="140"/>
      <c r="B30" s="141" t="s">
        <v>36</v>
      </c>
      <c r="C30" s="142"/>
      <c r="D30" s="143"/>
      <c r="E30" s="144"/>
      <c r="F30" s="145"/>
    </row>
    <row r="31" spans="1:6" customFormat="1" ht="15.75" thickBot="1">
      <c r="A31" s="131"/>
      <c r="B31" s="148"/>
      <c r="C31" s="146"/>
      <c r="D31" s="149"/>
      <c r="E31" s="150"/>
      <c r="F31" s="135"/>
    </row>
    <row r="32" spans="1:6" ht="27" customHeight="1" thickTop="1" thickBot="1">
      <c r="A32" s="131"/>
      <c r="B32" s="151"/>
      <c r="C32" s="501" t="str">
        <f>B7</f>
        <v>TRAVAUX PRELIMINAIRES</v>
      </c>
      <c r="D32" s="502"/>
      <c r="E32" s="503"/>
      <c r="F32" s="152"/>
    </row>
    <row r="33" spans="1:6" s="1" customFormat="1" ht="16.5" thickTop="1" thickBot="1">
      <c r="A33" s="140"/>
      <c r="B33" s="153"/>
      <c r="C33" s="146"/>
      <c r="D33" s="122"/>
      <c r="E33" s="123"/>
      <c r="F33" s="124"/>
    </row>
    <row r="34" spans="1:6" s="1" customFormat="1" ht="15.75" customHeight="1" thickTop="1">
      <c r="A34" s="140"/>
      <c r="B34" s="504" t="s">
        <v>37</v>
      </c>
      <c r="C34" s="146"/>
      <c r="D34" s="134"/>
      <c r="E34" s="147"/>
      <c r="F34" s="135"/>
    </row>
    <row r="35" spans="1:6" s="1" customFormat="1" ht="15">
      <c r="A35" s="140"/>
      <c r="B35" s="505"/>
      <c r="C35" s="146"/>
      <c r="D35" s="134"/>
      <c r="E35" s="147"/>
      <c r="F35" s="135"/>
    </row>
    <row r="36" spans="1:6" s="1" customFormat="1" ht="15">
      <c r="A36" s="140"/>
      <c r="B36" s="505"/>
      <c r="C36" s="146"/>
      <c r="D36" s="134"/>
      <c r="E36" s="147"/>
      <c r="F36" s="135"/>
    </row>
    <row r="37" spans="1:6" s="1" customFormat="1" ht="15" customHeight="1">
      <c r="A37" s="140" t="s">
        <v>33</v>
      </c>
      <c r="B37" s="505"/>
      <c r="C37" s="146"/>
      <c r="D37" s="134"/>
      <c r="E37" s="147"/>
      <c r="F37" s="135"/>
    </row>
    <row r="38" spans="1:6" s="1" customFormat="1" ht="15.75" thickBot="1">
      <c r="A38" s="140"/>
      <c r="B38" s="506"/>
      <c r="C38" s="146"/>
      <c r="D38" s="134"/>
      <c r="E38" s="147"/>
      <c r="F38" s="135"/>
    </row>
    <row r="39" spans="1:6" s="1" customFormat="1" ht="15.75" thickTop="1">
      <c r="A39" s="140"/>
      <c r="B39" s="138"/>
      <c r="C39" s="146"/>
      <c r="D39" s="134"/>
      <c r="E39" s="139"/>
      <c r="F39" s="137"/>
    </row>
    <row r="40" spans="1:6" s="21" customFormat="1" ht="20.100000000000001" customHeight="1">
      <c r="A40" s="125">
        <v>10.3</v>
      </c>
      <c r="B40" s="126" t="s">
        <v>42</v>
      </c>
      <c r="C40" s="127"/>
      <c r="D40" s="128"/>
      <c r="E40" s="129"/>
      <c r="F40" s="130"/>
    </row>
    <row r="41" spans="1:6" ht="15" customHeight="1">
      <c r="A41" s="131">
        <f>A40+0.001</f>
        <v>10.301</v>
      </c>
      <c r="B41" s="154" t="s">
        <v>43</v>
      </c>
      <c r="C41" s="159"/>
      <c r="D41" s="134"/>
      <c r="E41" s="160"/>
      <c r="F41" s="161"/>
    </row>
    <row r="42" spans="1:6" s="64" customFormat="1" ht="12" customHeight="1">
      <c r="A42" s="140"/>
      <c r="B42" s="138" t="s">
        <v>69</v>
      </c>
      <c r="C42" s="162"/>
      <c r="D42" s="134"/>
      <c r="E42" s="139"/>
      <c r="F42" s="137"/>
    </row>
    <row r="43" spans="1:6" s="64" customFormat="1" ht="12" customHeight="1">
      <c r="A43" s="39"/>
      <c r="B43" s="148" t="s">
        <v>71</v>
      </c>
      <c r="C43" s="162" t="s">
        <v>41</v>
      </c>
      <c r="D43" s="134">
        <f>(28.14*2.7)-((3*0.9*2.1)+(3*1.5*1.7))</f>
        <v>62.658000000000008</v>
      </c>
      <c r="E43" s="29"/>
      <c r="F43" s="137"/>
    </row>
    <row r="44" spans="1:6" s="64" customFormat="1" ht="12" customHeight="1">
      <c r="A44" s="39"/>
      <c r="B44" s="148" t="s">
        <v>73</v>
      </c>
      <c r="C44" s="162" t="s">
        <v>41</v>
      </c>
      <c r="D44" s="134">
        <f>(28*2.7)-((2*0.9*2.1)+(3*1.5*1.7))</f>
        <v>64.170000000000016</v>
      </c>
      <c r="E44" s="29"/>
      <c r="F44" s="137"/>
    </row>
    <row r="45" spans="1:6" s="64" customFormat="1" ht="12" customHeight="1">
      <c r="A45" s="39"/>
      <c r="B45" s="148" t="s">
        <v>74</v>
      </c>
      <c r="C45" s="162" t="s">
        <v>41</v>
      </c>
      <c r="D45" s="134">
        <f>(26.78*2.7)-((1.5*2.7)+(0.9*2.1)+(3*1.5*1.7))</f>
        <v>58.716000000000008</v>
      </c>
      <c r="E45" s="29"/>
      <c r="F45" s="137"/>
    </row>
    <row r="46" spans="1:6" s="64" customFormat="1" ht="12" customHeight="1">
      <c r="A46" s="39"/>
      <c r="B46" s="148" t="s">
        <v>75</v>
      </c>
      <c r="C46" s="162" t="s">
        <v>41</v>
      </c>
      <c r="D46" s="134">
        <f>(28.15*2.7)-((2*0.9*2.1)+(3*1.5*1.7))</f>
        <v>64.574999999999989</v>
      </c>
      <c r="E46" s="29"/>
      <c r="F46" s="137"/>
    </row>
    <row r="47" spans="1:6" s="64" customFormat="1" ht="12" customHeight="1">
      <c r="A47" s="39"/>
      <c r="B47" s="148" t="s">
        <v>76</v>
      </c>
      <c r="C47" s="162" t="s">
        <v>41</v>
      </c>
      <c r="D47" s="134">
        <f>(28.16*2.7)-((3*0.9*2.1)+(3*1.5*1.7))</f>
        <v>62.71200000000001</v>
      </c>
      <c r="E47" s="29"/>
      <c r="F47" s="137"/>
    </row>
    <row r="48" spans="1:6" s="64" customFormat="1" ht="12" customHeight="1">
      <c r="A48" s="39"/>
      <c r="B48" s="148" t="s">
        <v>77</v>
      </c>
      <c r="C48" s="162" t="s">
        <v>41</v>
      </c>
      <c r="D48" s="134">
        <f>(27.9*2.7)-((2*0.9*2.1)+(3*1.5*1.7))</f>
        <v>63.9</v>
      </c>
      <c r="E48" s="29"/>
      <c r="F48" s="137"/>
    </row>
    <row r="49" spans="1:6" s="64" customFormat="1" ht="12" customHeight="1">
      <c r="A49" s="39"/>
      <c r="B49" s="148" t="s">
        <v>80</v>
      </c>
      <c r="C49" s="162" t="s">
        <v>41</v>
      </c>
      <c r="D49" s="134">
        <f>(27.48*2.7)-((2*0.9*2.1)+(2*1.5*1.7))</f>
        <v>65.316000000000017</v>
      </c>
      <c r="E49" s="29"/>
      <c r="F49" s="137"/>
    </row>
    <row r="50" spans="1:6" s="64" customFormat="1" ht="12" customHeight="1">
      <c r="A50" s="39"/>
      <c r="B50" s="148" t="s">
        <v>81</v>
      </c>
      <c r="C50" s="162" t="s">
        <v>41</v>
      </c>
      <c r="D50" s="134">
        <f>(28.3*2.7)-((2*0.9*2.1)+(6*1.5*1.7))</f>
        <v>57.330000000000013</v>
      </c>
      <c r="E50" s="29"/>
      <c r="F50" s="137"/>
    </row>
    <row r="51" spans="1:6" s="64" customFormat="1" ht="12" customHeight="1">
      <c r="A51" s="39"/>
      <c r="B51" s="148" t="s">
        <v>82</v>
      </c>
      <c r="C51" s="162" t="s">
        <v>41</v>
      </c>
      <c r="D51" s="134">
        <f>(28.3*2.7)-((2*0.9*2.1)+(3*1.5*1.7))</f>
        <v>64.980000000000018</v>
      </c>
      <c r="E51" s="29"/>
      <c r="F51" s="137"/>
    </row>
    <row r="52" spans="1:6" s="64" customFormat="1" ht="12" customHeight="1">
      <c r="A52" s="39"/>
      <c r="B52" s="148" t="s">
        <v>83</v>
      </c>
      <c r="C52" s="162" t="s">
        <v>41</v>
      </c>
      <c r="D52" s="134">
        <f>(20.22*2.7)-(0.9*2.1)</f>
        <v>52.704000000000001</v>
      </c>
      <c r="E52" s="29"/>
      <c r="F52" s="137"/>
    </row>
    <row r="53" spans="1:6" s="64" customFormat="1" ht="12" customHeight="1">
      <c r="A53" s="39"/>
      <c r="B53" s="148" t="s">
        <v>84</v>
      </c>
      <c r="C53" s="162" t="s">
        <v>41</v>
      </c>
      <c r="D53" s="134">
        <f>(20.34*2.7)-((0.9*2.1)+(1.5*1.7))</f>
        <v>50.478000000000009</v>
      </c>
      <c r="E53" s="29"/>
      <c r="F53" s="137"/>
    </row>
    <row r="54" spans="1:6" s="64" customFormat="1" ht="12" customHeight="1">
      <c r="A54" s="39"/>
      <c r="B54" s="63" t="s">
        <v>86</v>
      </c>
      <c r="C54" s="162" t="s">
        <v>41</v>
      </c>
      <c r="D54" s="134">
        <f>(31.78*2.7)-((2*0.9*2.1)+(3*1.5*1.7))</f>
        <v>74.376000000000005</v>
      </c>
      <c r="E54" s="29"/>
      <c r="F54" s="137"/>
    </row>
    <row r="55" spans="1:6" s="64" customFormat="1" ht="12" customHeight="1" thickBot="1">
      <c r="A55" s="163"/>
      <c r="B55" s="164" t="s">
        <v>87</v>
      </c>
      <c r="C55" s="165" t="s">
        <v>41</v>
      </c>
      <c r="D55" s="149">
        <f>(15.04*2.7)-(2*1.6*2.1)</f>
        <v>33.887999999999998</v>
      </c>
      <c r="E55" s="78"/>
      <c r="F55" s="182"/>
    </row>
    <row r="56" spans="1:6" s="64" customFormat="1" ht="12" customHeight="1" thickTop="1">
      <c r="A56" s="167"/>
      <c r="B56" s="168" t="s">
        <v>88</v>
      </c>
      <c r="C56" s="169" t="s">
        <v>41</v>
      </c>
      <c r="D56" s="170">
        <f>(41.19*2.7)-((2.2*2.3)+(6*1.2*0.7)+(2*0.7)+(1.6*2.1)+(2*1.5*2.1)+(0.9*2.1)+(0.8*0.6))</f>
        <v>87.683000000000007</v>
      </c>
      <c r="E56" s="12"/>
      <c r="F56" s="187"/>
    </row>
    <row r="57" spans="1:6" s="64" customFormat="1" ht="12" customHeight="1">
      <c r="A57" s="39"/>
      <c r="B57" s="148" t="s">
        <v>89</v>
      </c>
      <c r="C57" s="162" t="s">
        <v>41</v>
      </c>
      <c r="D57" s="134">
        <f>(11.97*2.7)-((2*0.9*2.1)+(0.8*0.6))</f>
        <v>28.059000000000005</v>
      </c>
      <c r="E57" s="29"/>
      <c r="F57" s="137"/>
    </row>
    <row r="58" spans="1:6" s="64" customFormat="1" ht="12" customHeight="1">
      <c r="A58" s="39"/>
      <c r="B58" s="148" t="s">
        <v>90</v>
      </c>
      <c r="C58" s="162" t="s">
        <v>41</v>
      </c>
      <c r="D58" s="134">
        <f>(25.97*2.7)-((3*0.9*2.1))</f>
        <v>64.448999999999998</v>
      </c>
      <c r="E58" s="29"/>
      <c r="F58" s="137"/>
    </row>
    <row r="59" spans="1:6" s="64" customFormat="1" ht="12" customHeight="1">
      <c r="A59" s="39"/>
      <c r="B59" s="148" t="s">
        <v>100</v>
      </c>
      <c r="C59" s="162" t="s">
        <v>41</v>
      </c>
      <c r="D59" s="134">
        <f>(72.94*2.7)-((8*0.9*2.1)+(3*1.6*2.7)+(8*1.5*1.7))</f>
        <v>148.45800000000003</v>
      </c>
      <c r="E59" s="29"/>
      <c r="F59" s="137"/>
    </row>
    <row r="60" spans="1:6" s="64" customFormat="1" ht="12" customHeight="1">
      <c r="A60" s="39"/>
      <c r="B60" s="148" t="s">
        <v>101</v>
      </c>
      <c r="C60" s="162" t="s">
        <v>41</v>
      </c>
      <c r="D60" s="134">
        <f>(15.18*2.7)-((1.6*2.7)+(2*0.9*2.1))</f>
        <v>32.886000000000003</v>
      </c>
      <c r="E60" s="29"/>
      <c r="F60" s="137"/>
    </row>
    <row r="61" spans="1:6" s="64" customFormat="1" ht="12" customHeight="1">
      <c r="A61" s="39"/>
      <c r="B61" s="148" t="s">
        <v>102</v>
      </c>
      <c r="C61" s="162" t="s">
        <v>41</v>
      </c>
      <c r="D61" s="134">
        <f>(15.18*2.7)-((1.6*2.7)+(2*0.9*2.1))</f>
        <v>32.886000000000003</v>
      </c>
      <c r="E61" s="29"/>
      <c r="F61" s="137"/>
    </row>
    <row r="62" spans="1:6" s="64" customFormat="1" ht="12" customHeight="1">
      <c r="A62" s="140"/>
      <c r="B62" s="138" t="s">
        <v>70</v>
      </c>
      <c r="C62" s="162"/>
      <c r="D62" s="134"/>
      <c r="E62" s="139"/>
      <c r="F62" s="137"/>
    </row>
    <row r="63" spans="1:6" s="64" customFormat="1" ht="12" customHeight="1">
      <c r="A63" s="39"/>
      <c r="B63" s="148" t="s">
        <v>105</v>
      </c>
      <c r="C63" s="162" t="s">
        <v>41</v>
      </c>
      <c r="D63" s="134">
        <f>(31.61*2.7)-((4*0.9*2.1)+(3*1.5*1.7))</f>
        <v>70.137</v>
      </c>
      <c r="E63" s="29"/>
      <c r="F63" s="137"/>
    </row>
    <row r="64" spans="1:6" s="64" customFormat="1" ht="12" customHeight="1">
      <c r="A64" s="39"/>
      <c r="B64" s="148" t="s">
        <v>106</v>
      </c>
      <c r="C64" s="162" t="s">
        <v>41</v>
      </c>
      <c r="D64" s="134">
        <f>(28.03*2.7)-((2*0.9*2.1)+(2*1.5*1.7))</f>
        <v>66.801000000000016</v>
      </c>
      <c r="E64" s="29"/>
      <c r="F64" s="137"/>
    </row>
    <row r="65" spans="1:6" s="64" customFormat="1" ht="12" customHeight="1">
      <c r="A65" s="39"/>
      <c r="B65" s="148" t="s">
        <v>107</v>
      </c>
      <c r="C65" s="162" t="s">
        <v>41</v>
      </c>
      <c r="D65" s="134">
        <f>(28.14*2.7)-((3*0.9*2.1)+(3*1.5*1.7))</f>
        <v>62.658000000000008</v>
      </c>
      <c r="E65" s="29"/>
      <c r="F65" s="137"/>
    </row>
    <row r="66" spans="1:6" s="64" customFormat="1" ht="12" customHeight="1">
      <c r="A66" s="39"/>
      <c r="B66" s="148" t="s">
        <v>108</v>
      </c>
      <c r="C66" s="162" t="s">
        <v>41</v>
      </c>
      <c r="D66" s="134">
        <f>(27.7*2.7)-((3*0.9*2.1)+(3*1.5*1.7))</f>
        <v>61.470000000000006</v>
      </c>
      <c r="E66" s="29"/>
      <c r="F66" s="137"/>
    </row>
    <row r="67" spans="1:6" s="64" customFormat="1" ht="12" customHeight="1">
      <c r="A67" s="39"/>
      <c r="B67" s="148" t="s">
        <v>109</v>
      </c>
      <c r="C67" s="162" t="s">
        <v>41</v>
      </c>
      <c r="D67" s="134">
        <f>(26.78*2.7)-((2*0.9*2.1)+(4*1.5*1.7))</f>
        <v>58.326000000000008</v>
      </c>
      <c r="E67" s="29"/>
      <c r="F67" s="137"/>
    </row>
    <row r="68" spans="1:6" s="64" customFormat="1" ht="12" customHeight="1">
      <c r="A68" s="39"/>
      <c r="B68" s="148" t="s">
        <v>110</v>
      </c>
      <c r="C68" s="162" t="s">
        <v>41</v>
      </c>
      <c r="D68" s="134">
        <f>(28.15*2.7)-((2*0.9*2.1)+(3*1.5*1.7))</f>
        <v>64.574999999999989</v>
      </c>
      <c r="E68" s="29"/>
      <c r="F68" s="137"/>
    </row>
    <row r="69" spans="1:6" s="64" customFormat="1" ht="12" customHeight="1">
      <c r="A69" s="39"/>
      <c r="B69" s="148" t="s">
        <v>111</v>
      </c>
      <c r="C69" s="162" t="s">
        <v>41</v>
      </c>
      <c r="D69" s="134">
        <f>(28.16*2.7)-((3*0.9*2.1)+(3*1.5*1.7))</f>
        <v>62.71200000000001</v>
      </c>
      <c r="E69" s="29"/>
      <c r="F69" s="137"/>
    </row>
    <row r="70" spans="1:6" s="64" customFormat="1" ht="12" customHeight="1">
      <c r="A70" s="39"/>
      <c r="B70" s="148" t="s">
        <v>112</v>
      </c>
      <c r="C70" s="162" t="s">
        <v>41</v>
      </c>
      <c r="D70" s="134">
        <f>(31.3*2.7)-((2*0.9*2.1)+(3*1.5*1.7))</f>
        <v>73.080000000000013</v>
      </c>
      <c r="E70" s="29"/>
      <c r="F70" s="137"/>
    </row>
    <row r="71" spans="1:6" s="64" customFormat="1" ht="12" customHeight="1">
      <c r="A71" s="39"/>
      <c r="B71" s="148" t="s">
        <v>114</v>
      </c>
      <c r="C71" s="162" t="s">
        <v>41</v>
      </c>
      <c r="D71" s="134">
        <f>(9.27*2.7)-(0.9*2.1)</f>
        <v>23.138999999999999</v>
      </c>
      <c r="E71" s="29"/>
      <c r="F71" s="137"/>
    </row>
    <row r="72" spans="1:6" s="64" customFormat="1" ht="12" customHeight="1">
      <c r="A72" s="39"/>
      <c r="B72" s="148" t="s">
        <v>116</v>
      </c>
      <c r="C72" s="162" t="s">
        <v>41</v>
      </c>
      <c r="D72" s="134">
        <f>(32.54*2.7)-((3*0.9*2.1)+(3*1.5*1.7))</f>
        <v>74.538000000000011</v>
      </c>
      <c r="E72" s="29"/>
      <c r="F72" s="137"/>
    </row>
    <row r="73" spans="1:6" s="64" customFormat="1" ht="12" customHeight="1">
      <c r="A73" s="39"/>
      <c r="B73" s="148" t="s">
        <v>123</v>
      </c>
      <c r="C73" s="162" t="s">
        <v>41</v>
      </c>
      <c r="D73" s="134">
        <f>(120.25*2.7)-((18*0.9*2.1)+(2*1.6*2.2)+(1.4*2.1)+(1.6*2.7)+(11*1.5*1.7))</f>
        <v>248.30500000000001</v>
      </c>
      <c r="E73" s="29"/>
      <c r="F73" s="137"/>
    </row>
    <row r="74" spans="1:6" s="64" customFormat="1" ht="12" customHeight="1" thickBot="1">
      <c r="A74" s="140"/>
      <c r="B74" s="148"/>
      <c r="C74" s="162"/>
      <c r="D74" s="134"/>
      <c r="E74" s="139"/>
      <c r="F74" s="137"/>
    </row>
    <row r="75" spans="1:6" ht="27" customHeight="1" thickTop="1" thickBot="1">
      <c r="A75" s="131"/>
      <c r="B75" s="172"/>
      <c r="C75" s="501" t="str">
        <f>+B40</f>
        <v>PLATRERIE</v>
      </c>
      <c r="D75" s="502"/>
      <c r="E75" s="503"/>
      <c r="F75" s="152"/>
    </row>
    <row r="76" spans="1:6" s="46" customFormat="1" ht="13.5" thickTop="1" thickBot="1">
      <c r="A76" s="190"/>
      <c r="B76" s="168"/>
      <c r="C76" s="401"/>
      <c r="D76" s="402"/>
      <c r="E76" s="403"/>
      <c r="F76" s="404"/>
    </row>
    <row r="77" spans="1:6" s="46" customFormat="1" ht="30" customHeight="1" thickTop="1" thickBot="1">
      <c r="A77" s="498" t="s">
        <v>63</v>
      </c>
      <c r="B77" s="499"/>
      <c r="C77" s="499"/>
      <c r="D77" s="499"/>
      <c r="E77" s="500"/>
      <c r="F77" s="194"/>
    </row>
    <row r="78" spans="1:6" ht="12.75" thickTop="1">
      <c r="A78" s="103"/>
      <c r="B78" s="104"/>
      <c r="C78" s="14"/>
      <c r="D78" s="47"/>
      <c r="E78" s="105"/>
      <c r="F78" s="195"/>
    </row>
    <row r="79" spans="1:6">
      <c r="A79" s="103"/>
      <c r="B79" s="104"/>
      <c r="C79" s="14"/>
      <c r="D79" s="47"/>
      <c r="E79" s="105"/>
      <c r="F79" s="195"/>
    </row>
    <row r="80" spans="1:6">
      <c r="A80" s="107" t="s">
        <v>64</v>
      </c>
      <c r="B80" s="104"/>
      <c r="C80" s="14"/>
      <c r="D80" s="47"/>
      <c r="E80" s="105"/>
      <c r="F80" s="195"/>
    </row>
    <row r="81" spans="1:6" ht="15">
      <c r="A81" s="103"/>
      <c r="B81" s="104"/>
      <c r="C81" s="14"/>
      <c r="D81" s="47"/>
      <c r="E81" s="196"/>
      <c r="F81" s="405"/>
    </row>
    <row r="82" spans="1:6" ht="15">
      <c r="A82" s="103"/>
      <c r="B82" s="104"/>
      <c r="C82" s="14"/>
      <c r="D82" s="47"/>
      <c r="E82" s="196"/>
      <c r="F82" s="405"/>
    </row>
    <row r="83" spans="1:6" customFormat="1" ht="15" customHeight="1">
      <c r="A83" s="52"/>
      <c r="B83" s="52"/>
      <c r="C83" s="1"/>
      <c r="D83" s="480"/>
      <c r="E83" s="480"/>
      <c r="F83" s="298"/>
    </row>
    <row r="84" spans="1:6" customFormat="1" ht="15">
      <c r="A84" s="52"/>
      <c r="B84" s="52"/>
      <c r="C84" s="1"/>
      <c r="D84" s="111"/>
      <c r="E84" s="113"/>
      <c r="F84" s="299"/>
    </row>
    <row r="85" spans="1:6" customFormat="1" ht="15" customHeight="1">
      <c r="A85" s="52"/>
      <c r="B85" s="52"/>
      <c r="C85" s="1"/>
      <c r="D85" s="480"/>
      <c r="E85" s="480"/>
      <c r="F85" s="298"/>
    </row>
    <row r="86" spans="1:6" customFormat="1" ht="15" customHeight="1">
      <c r="A86" s="52"/>
      <c r="B86" s="52"/>
      <c r="C86" s="1"/>
      <c r="D86" s="480"/>
      <c r="E86" s="480"/>
      <c r="F86" s="298"/>
    </row>
    <row r="87" spans="1:6" customFormat="1" ht="15" customHeight="1">
      <c r="A87" s="52"/>
      <c r="B87" s="52"/>
      <c r="C87" s="1"/>
      <c r="D87" s="480"/>
      <c r="E87" s="480"/>
      <c r="F87" s="298"/>
    </row>
    <row r="88" spans="1:6" customFormat="1" ht="15" customHeight="1">
      <c r="A88" s="52"/>
      <c r="B88" s="52"/>
      <c r="C88" s="1"/>
      <c r="D88" s="480"/>
      <c r="E88" s="480"/>
      <c r="F88" s="298"/>
    </row>
    <row r="89" spans="1:6" customFormat="1" ht="15" customHeight="1">
      <c r="A89" s="52"/>
      <c r="B89" s="52"/>
      <c r="C89" s="1"/>
      <c r="D89" s="480"/>
      <c r="E89" s="480"/>
      <c r="F89" s="298"/>
    </row>
    <row r="90" spans="1:6" customFormat="1" ht="15" customHeight="1">
      <c r="A90" s="52"/>
      <c r="B90" s="52"/>
      <c r="C90" s="1"/>
      <c r="D90" s="480"/>
      <c r="E90" s="480"/>
      <c r="F90" s="298"/>
    </row>
    <row r="91" spans="1:6">
      <c r="A91" s="103"/>
      <c r="B91" s="104"/>
      <c r="C91" s="14"/>
      <c r="D91" s="47"/>
      <c r="E91" s="105"/>
      <c r="F91" s="195"/>
    </row>
    <row r="92" spans="1:6">
      <c r="A92" s="103"/>
      <c r="B92" s="104" t="s">
        <v>33</v>
      </c>
      <c r="C92" s="14"/>
      <c r="D92" s="47"/>
      <c r="E92" s="105"/>
      <c r="F92" s="195"/>
    </row>
    <row r="93" spans="1:6">
      <c r="A93" s="103"/>
      <c r="B93" s="104"/>
      <c r="C93" s="14"/>
      <c r="D93" s="47"/>
      <c r="E93" s="105"/>
      <c r="F93" s="195"/>
    </row>
    <row r="94" spans="1:6">
      <c r="A94" s="103"/>
      <c r="B94" s="104"/>
      <c r="C94" s="14"/>
      <c r="D94" s="47"/>
      <c r="E94" s="105"/>
      <c r="F94" s="195"/>
    </row>
    <row r="95" spans="1:6">
      <c r="A95" s="103"/>
      <c r="B95" s="104"/>
      <c r="C95" s="14"/>
      <c r="D95" s="47"/>
      <c r="E95" s="105"/>
      <c r="F95" s="195"/>
    </row>
    <row r="96" spans="1:6">
      <c r="A96" s="103"/>
      <c r="B96" s="104"/>
      <c r="C96" s="14"/>
      <c r="D96" s="47"/>
      <c r="E96" s="105"/>
      <c r="F96" s="195"/>
    </row>
    <row r="97" spans="1:6">
      <c r="A97" s="103"/>
      <c r="B97" s="104"/>
      <c r="C97" s="14"/>
      <c r="D97" s="47"/>
      <c r="E97" s="105"/>
      <c r="F97" s="195"/>
    </row>
    <row r="98" spans="1:6">
      <c r="A98" s="103"/>
      <c r="B98" s="104"/>
      <c r="C98" s="14"/>
      <c r="D98" s="47"/>
      <c r="E98" s="105"/>
      <c r="F98" s="195"/>
    </row>
    <row r="99" spans="1:6">
      <c r="A99" s="103"/>
      <c r="B99" s="104"/>
      <c r="C99" s="14"/>
      <c r="D99" s="47"/>
      <c r="E99" s="105"/>
      <c r="F99" s="195"/>
    </row>
    <row r="100" spans="1:6">
      <c r="A100" s="103"/>
      <c r="B100" s="104"/>
      <c r="C100" s="14"/>
      <c r="D100" s="47"/>
      <c r="E100" s="105"/>
      <c r="F100" s="195"/>
    </row>
    <row r="101" spans="1:6">
      <c r="A101" s="103"/>
      <c r="B101" s="104"/>
      <c r="C101" s="14"/>
      <c r="D101" s="47"/>
      <c r="E101" s="105"/>
      <c r="F101" s="195"/>
    </row>
    <row r="102" spans="1:6">
      <c r="A102" s="103"/>
      <c r="B102" s="104"/>
      <c r="C102" s="14"/>
      <c r="D102" s="47"/>
      <c r="E102" s="105"/>
      <c r="F102" s="195"/>
    </row>
    <row r="103" spans="1:6">
      <c r="A103" s="103"/>
      <c r="B103" s="104"/>
      <c r="C103" s="14"/>
      <c r="D103" s="47"/>
      <c r="E103" s="105"/>
      <c r="F103" s="195"/>
    </row>
    <row r="104" spans="1:6">
      <c r="A104" s="103"/>
      <c r="B104" s="104"/>
      <c r="C104" s="14"/>
      <c r="D104" s="47"/>
      <c r="E104" s="105"/>
      <c r="F104" s="195"/>
    </row>
    <row r="105" spans="1:6">
      <c r="A105" s="103"/>
      <c r="B105" s="104"/>
      <c r="C105" s="14"/>
      <c r="D105" s="47"/>
      <c r="E105" s="105"/>
      <c r="F105" s="195"/>
    </row>
    <row r="106" spans="1:6">
      <c r="A106" s="103"/>
      <c r="B106" s="104"/>
      <c r="C106" s="14"/>
      <c r="D106" s="47"/>
      <c r="E106" s="105"/>
      <c r="F106" s="195"/>
    </row>
    <row r="107" spans="1:6">
      <c r="A107" s="103"/>
      <c r="B107" s="104"/>
      <c r="C107" s="14"/>
      <c r="D107" s="47"/>
      <c r="E107" s="105"/>
      <c r="F107" s="195"/>
    </row>
    <row r="108" spans="1:6">
      <c r="A108" s="103"/>
      <c r="B108" s="104"/>
      <c r="C108" s="14"/>
      <c r="D108" s="47"/>
      <c r="E108" s="105"/>
      <c r="F108" s="195"/>
    </row>
    <row r="109" spans="1:6">
      <c r="A109" s="103"/>
      <c r="B109" s="104"/>
      <c r="C109" s="14"/>
      <c r="D109" s="47"/>
      <c r="E109" s="105"/>
      <c r="F109" s="195"/>
    </row>
  </sheetData>
  <mergeCells count="18">
    <mergeCell ref="E9:F9"/>
    <mergeCell ref="A1:F1"/>
    <mergeCell ref="A2:F2"/>
    <mergeCell ref="A3:F3"/>
    <mergeCell ref="A4:F4"/>
    <mergeCell ref="E8:F8"/>
    <mergeCell ref="D90:E90"/>
    <mergeCell ref="E11:F11"/>
    <mergeCell ref="C32:E32"/>
    <mergeCell ref="B34:B38"/>
    <mergeCell ref="C75:E75"/>
    <mergeCell ref="A77:E77"/>
    <mergeCell ref="D83:E83"/>
    <mergeCell ref="D85:E85"/>
    <mergeCell ref="D86:E86"/>
    <mergeCell ref="D87:E87"/>
    <mergeCell ref="D88:E88"/>
    <mergeCell ref="D89:E89"/>
  </mergeCells>
  <conditionalFormatting sqref="E10">
    <cfRule type="cellIs" dxfId="55" priority="3" operator="equal">
      <formula>0</formula>
    </cfRule>
  </conditionalFormatting>
  <conditionalFormatting sqref="E43:E61">
    <cfRule type="cellIs" dxfId="54" priority="2" operator="equal">
      <formula>0</formula>
    </cfRule>
  </conditionalFormatting>
  <conditionalFormatting sqref="E63:E73">
    <cfRule type="cellIs" dxfId="53" priority="1" operator="equal">
      <formula>0</formula>
    </cfRule>
  </conditionalFormatting>
  <printOptions horizontalCentered="1"/>
  <pageMargins left="0.31496062992125984" right="0.31496062992125984" top="0.31496062992125984" bottom="0.31496062992125984" header="0.31496062992125984" footer="0.31496062992125984"/>
  <pageSetup paperSize="9" scale="96" fitToHeight="0" orientation="portrait" r:id="rId1"/>
  <headerFooter>
    <oddFooter>&amp;L&amp;"Arial,Normal"&amp;5DPGF - LOT 10 :  PLAT - FX PLAF - ISO - CLOIS - 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23</vt:i4>
      </vt:variant>
      <vt:variant>
        <vt:lpstr>Plages nommées</vt:lpstr>
      </vt:variant>
      <vt:variant>
        <vt:i4>45</vt:i4>
      </vt:variant>
    </vt:vector>
  </HeadingPairs>
  <TitlesOfParts>
    <vt:vector size="68" baseType="lpstr">
      <vt:lpstr>LOT 10 FX PLAF BAT D TF</vt:lpstr>
      <vt:lpstr>LOT 10 FX PLAF BAT G TF</vt:lpstr>
      <vt:lpstr>LOT 10 FX PLAF BAT H TF</vt:lpstr>
      <vt:lpstr>LOT 10 FX PLAF BAT I TF</vt:lpstr>
      <vt:lpstr>LOT 10 FX PLAF BAT K TF</vt:lpstr>
      <vt:lpstr>LOT 10 FX PLAF BAT N TF</vt:lpstr>
      <vt:lpstr>LOT 10 FX PLAF BAT U TF</vt:lpstr>
      <vt:lpstr>LOT 10 FX PLAF BAT K TO1</vt:lpstr>
      <vt:lpstr>LOT 10 FX PLAF BAT G TO2</vt:lpstr>
      <vt:lpstr>LOT 10 FX PLAF BAT U T03</vt:lpstr>
      <vt:lpstr>LOT 10 FX PLAF BAT J T04</vt:lpstr>
      <vt:lpstr>LOT 10 FX PLAF BAT H T05</vt:lpstr>
      <vt:lpstr>LOT 10 FX PLAF BAT A T06</vt:lpstr>
      <vt:lpstr>LOT 10 FX PLAF BAT B T06</vt:lpstr>
      <vt:lpstr>LOT 10 FX PLAF BAT C T06</vt:lpstr>
      <vt:lpstr>LOT 10 FX PLAF BAT E T06</vt:lpstr>
      <vt:lpstr>LOT 10 FX PLAF BAT F T06</vt:lpstr>
      <vt:lpstr>LOT 10 FX PLAF BAT L T06</vt:lpstr>
      <vt:lpstr>LOT 10 FX PLAF BAT M T06</vt:lpstr>
      <vt:lpstr>LOT 10 FX PLAF BAT O T06</vt:lpstr>
      <vt:lpstr>LOT 10 FX PLAF BAT P T06</vt:lpstr>
      <vt:lpstr>LOT 10 FX PLAF BAT T T06</vt:lpstr>
      <vt:lpstr>LOT 10 FX PLAF BAT V T06</vt:lpstr>
      <vt:lpstr>'LOT 10 FX PLAF BAT A T06'!Impression_des_titres</vt:lpstr>
      <vt:lpstr>'LOT 10 FX PLAF BAT B T06'!Impression_des_titres</vt:lpstr>
      <vt:lpstr>'LOT 10 FX PLAF BAT C T06'!Impression_des_titres</vt:lpstr>
      <vt:lpstr>'LOT 10 FX PLAF BAT D TF'!Impression_des_titres</vt:lpstr>
      <vt:lpstr>'LOT 10 FX PLAF BAT E T06'!Impression_des_titres</vt:lpstr>
      <vt:lpstr>'LOT 10 FX PLAF BAT F T06'!Impression_des_titres</vt:lpstr>
      <vt:lpstr>'LOT 10 FX PLAF BAT G TF'!Impression_des_titres</vt:lpstr>
      <vt:lpstr>'LOT 10 FX PLAF BAT G TO2'!Impression_des_titres</vt:lpstr>
      <vt:lpstr>'LOT 10 FX PLAF BAT H T05'!Impression_des_titres</vt:lpstr>
      <vt:lpstr>'LOT 10 FX PLAF BAT H TF'!Impression_des_titres</vt:lpstr>
      <vt:lpstr>'LOT 10 FX PLAF BAT I TF'!Impression_des_titres</vt:lpstr>
      <vt:lpstr>'LOT 10 FX PLAF BAT J T04'!Impression_des_titres</vt:lpstr>
      <vt:lpstr>'LOT 10 FX PLAF BAT K TF'!Impression_des_titres</vt:lpstr>
      <vt:lpstr>'LOT 10 FX PLAF BAT K TO1'!Impression_des_titres</vt:lpstr>
      <vt:lpstr>'LOT 10 FX PLAF BAT L T06'!Impression_des_titres</vt:lpstr>
      <vt:lpstr>'LOT 10 FX PLAF BAT M T06'!Impression_des_titres</vt:lpstr>
      <vt:lpstr>'LOT 10 FX PLAF BAT N TF'!Impression_des_titres</vt:lpstr>
      <vt:lpstr>'LOT 10 FX PLAF BAT O T06'!Impression_des_titres</vt:lpstr>
      <vt:lpstr>'LOT 10 FX PLAF BAT P T06'!Impression_des_titres</vt:lpstr>
      <vt:lpstr>'LOT 10 FX PLAF BAT T T06'!Impression_des_titres</vt:lpstr>
      <vt:lpstr>'LOT 10 FX PLAF BAT U T03'!Impression_des_titres</vt:lpstr>
      <vt:lpstr>'LOT 10 FX PLAF BAT U TF'!Impression_des_titres</vt:lpstr>
      <vt:lpstr>'LOT 10 FX PLAF BAT V T06'!Impression_des_titres</vt:lpstr>
      <vt:lpstr>'LOT 10 FX PLAF BAT A T06'!Zone_d_impression</vt:lpstr>
      <vt:lpstr>'LOT 10 FX PLAF BAT B T06'!Zone_d_impression</vt:lpstr>
      <vt:lpstr>'LOT 10 FX PLAF BAT C T06'!Zone_d_impression</vt:lpstr>
      <vt:lpstr>'LOT 10 FX PLAF BAT D TF'!Zone_d_impression</vt:lpstr>
      <vt:lpstr>'LOT 10 FX PLAF BAT E T06'!Zone_d_impression</vt:lpstr>
      <vt:lpstr>'LOT 10 FX PLAF BAT F T06'!Zone_d_impression</vt:lpstr>
      <vt:lpstr>'LOT 10 FX PLAF BAT G TF'!Zone_d_impression</vt:lpstr>
      <vt:lpstr>'LOT 10 FX PLAF BAT G TO2'!Zone_d_impression</vt:lpstr>
      <vt:lpstr>'LOT 10 FX PLAF BAT H T05'!Zone_d_impression</vt:lpstr>
      <vt:lpstr>'LOT 10 FX PLAF BAT H TF'!Zone_d_impression</vt:lpstr>
      <vt:lpstr>'LOT 10 FX PLAF BAT I TF'!Zone_d_impression</vt:lpstr>
      <vt:lpstr>'LOT 10 FX PLAF BAT J T04'!Zone_d_impression</vt:lpstr>
      <vt:lpstr>'LOT 10 FX PLAF BAT K TF'!Zone_d_impression</vt:lpstr>
      <vt:lpstr>'LOT 10 FX PLAF BAT K TO1'!Zone_d_impression</vt:lpstr>
      <vt:lpstr>'LOT 10 FX PLAF BAT L T06'!Zone_d_impression</vt:lpstr>
      <vt:lpstr>'LOT 10 FX PLAF BAT M T06'!Zone_d_impression</vt:lpstr>
      <vt:lpstr>'LOT 10 FX PLAF BAT N TF'!Zone_d_impression</vt:lpstr>
      <vt:lpstr>'LOT 10 FX PLAF BAT O T06'!Zone_d_impression</vt:lpstr>
      <vt:lpstr>'LOT 10 FX PLAF BAT P T06'!Zone_d_impression</vt:lpstr>
      <vt:lpstr>'LOT 10 FX PLAF BAT T T06'!Zone_d_impression</vt:lpstr>
      <vt:lpstr>'LOT 10 FX PLAF BAT U TF'!Zone_d_impression</vt:lpstr>
      <vt:lpstr>'LOT 10 FX PLAF BAT V T06'!Zone_d_impression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2025-12-18T05:51:45Z</cp:lastPrinted>
  <dcterms:created xsi:type="dcterms:W3CDTF">2025-12-18T00:33:29Z</dcterms:created>
  <dcterms:modified xsi:type="dcterms:W3CDTF">2025-12-18T05:51:52Z</dcterms:modified>
</cp:coreProperties>
</file>